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YBFHHe14xMzf8rn8AIUVHQK2CzevvnkFpfhu522YBgSk8ENgW6EWEhYHO3wQQcqXJ+cKGd2R9mbPvgETNTXNDw==" workbookSaltValue="PLTDDNTCvFJGRqopA3EPl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AO17" i="11" s="1"/>
  <c r="E15" i="2"/>
  <c r="E16" i="2"/>
  <c r="E18" i="2" s="1"/>
  <c r="E17" i="2"/>
  <c r="C16" i="2"/>
  <c r="D16" i="2" s="1"/>
  <c r="C17" i="2"/>
  <c r="D17" i="2" s="1"/>
  <c r="I9" i="2"/>
  <c r="I10" i="2"/>
  <c r="I11" i="2"/>
  <c r="L11" i="14"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R10" i="14" s="1"/>
  <c r="P9" i="14"/>
  <c r="O17" i="14"/>
  <c r="O16" i="14"/>
  <c r="O15" i="14"/>
  <c r="O12" i="14"/>
  <c r="O11" i="14"/>
  <c r="O10" i="14"/>
  <c r="O9" i="14"/>
  <c r="AZ9" i="8"/>
  <c r="BB16" i="8"/>
  <c r="BA16" i="8"/>
  <c r="AZ16" i="8"/>
  <c r="AY16" i="8"/>
  <c r="BB15" i="8"/>
  <c r="BE15" i="8" s="1"/>
  <c r="BA15" i="8"/>
  <c r="AZ15" i="8"/>
  <c r="BD15" i="8" s="1"/>
  <c r="H15" i="7" s="1"/>
  <c r="AY15" i="8"/>
  <c r="BB12" i="8"/>
  <c r="BE12" i="8" s="1"/>
  <c r="BA12" i="8"/>
  <c r="AZ12" i="8"/>
  <c r="AY12" i="8"/>
  <c r="AY13" i="8" s="1"/>
  <c r="BB11" i="8"/>
  <c r="BE11" i="8" s="1"/>
  <c r="BA11" i="8"/>
  <c r="AZ11" i="8"/>
  <c r="BD11" i="8" s="1"/>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B9" i="6"/>
  <c r="Y11" i="11"/>
  <c r="AT18" i="17"/>
  <c r="N10" i="11"/>
  <c r="N9" i="11"/>
  <c r="F10" i="10"/>
  <c r="D11" i="2"/>
  <c r="N11" i="11"/>
  <c r="ES19" i="8"/>
  <c r="C18" i="7"/>
  <c r="S19" i="13"/>
  <c r="AG19" i="19"/>
  <c r="F9" i="11"/>
  <c r="R8" i="9"/>
  <c r="X12" i="21" s="1"/>
  <c r="CI19" i="8"/>
  <c r="AE19" i="8"/>
  <c r="F17" i="16"/>
  <c r="BL17" i="16" s="1"/>
  <c r="EP19" i="8"/>
  <c r="ER19" i="13"/>
  <c r="AL13" i="16"/>
  <c r="S13" i="16"/>
  <c r="H18" i="16"/>
  <c r="P13" i="16"/>
  <c r="AN13" i="20"/>
  <c r="F15" i="17"/>
  <c r="X11" i="17"/>
  <c r="Z13" i="17"/>
  <c r="F17" i="17"/>
  <c r="AQ17" i="17" s="1"/>
  <c r="F9" i="2"/>
  <c r="M13" i="2"/>
  <c r="N13" i="2"/>
  <c r="AL11" i="11"/>
  <c r="AO9" i="11"/>
  <c r="E11" i="6"/>
  <c r="AC10" i="11"/>
  <c r="H13" i="12"/>
  <c r="T19" i="8"/>
  <c r="AJ19" i="8"/>
  <c r="T13" i="12"/>
  <c r="BI10" i="11"/>
  <c r="BJ11" i="11"/>
  <c r="BL11" i="11"/>
  <c r="T17" i="16"/>
  <c r="BU15" i="17"/>
  <c r="BW17" i="20"/>
  <c r="BW16" i="20"/>
  <c r="BW15" i="20"/>
  <c r="BU9" i="17"/>
  <c r="BV10" i="16"/>
  <c r="BU17" i="17"/>
  <c r="BU16" i="17"/>
  <c r="BV9" i="16"/>
  <c r="AZ16" i="11"/>
  <c r="AZ12" i="11"/>
  <c r="T15" i="11"/>
  <c r="X17" i="17"/>
  <c r="S15" i="16"/>
  <c r="P15" i="17"/>
  <c r="BF12" i="11"/>
  <c r="BL15" i="11"/>
  <c r="BL10" i="11"/>
  <c r="BH10" i="16"/>
  <c r="Q15" i="17"/>
  <c r="BM17" i="11"/>
  <c r="BF15" i="11"/>
  <c r="BH16" i="11"/>
  <c r="AQ12" i="21"/>
  <c r="BJ16" i="11"/>
  <c r="BL16" i="11"/>
  <c r="S19" i="8"/>
  <c r="AY18" i="8"/>
  <c r="BF15" i="8"/>
  <c r="AZ18" i="13"/>
  <c r="BD12" i="8"/>
  <c r="BG15" i="8"/>
  <c r="BD9" i="8"/>
  <c r="BE9" i="8"/>
  <c r="BA13" i="8"/>
  <c r="L10" i="2"/>
  <c r="AV18" i="17"/>
  <c r="J18" i="17"/>
  <c r="L15" i="2"/>
  <c r="L16" i="2"/>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L16" i="14" l="1"/>
  <c r="F16" i="17"/>
  <c r="BG16" i="8"/>
  <c r="AW18" i="21"/>
  <c r="AB19" i="8"/>
  <c r="Z19" i="8"/>
  <c r="BG12" i="8"/>
  <c r="H12" i="2"/>
  <c r="T10" i="21"/>
  <c r="L12" i="14"/>
  <c r="B17" i="6"/>
  <c r="C17" i="6"/>
  <c r="B12" i="6"/>
  <c r="C11" i="6"/>
  <c r="I11" i="12" s="1"/>
  <c r="AO16" i="11"/>
  <c r="AL10" i="11"/>
  <c r="H12" i="7"/>
  <c r="AO12" i="11"/>
  <c r="I11" i="7"/>
  <c r="H15" i="2"/>
  <c r="E15" i="6"/>
  <c r="B16" i="6"/>
  <c r="BL12" i="11"/>
  <c r="V11" i="16"/>
  <c r="BJ17" i="11"/>
  <c r="U9" i="17"/>
  <c r="U19" i="17" s="1"/>
  <c r="L12" i="2"/>
  <c r="X12" i="17"/>
  <c r="BK10" i="11"/>
  <c r="BH12" i="16"/>
  <c r="BM9" i="11"/>
  <c r="S17" i="17"/>
  <c r="BG16" i="11"/>
  <c r="BH11" i="11"/>
  <c r="BK16" i="11"/>
  <c r="BJ10" i="11"/>
  <c r="AQ10" i="21"/>
  <c r="BI9" i="11"/>
  <c r="BH10" i="11"/>
  <c r="Q17" i="17"/>
  <c r="BG12" i="11"/>
  <c r="T16" i="11"/>
  <c r="S11" i="14"/>
  <c r="V11" i="14" s="1"/>
  <c r="X15" i="17"/>
  <c r="AA15" i="16"/>
  <c r="AA16" i="16"/>
  <c r="BU12" i="17"/>
  <c r="S11" i="17"/>
  <c r="BW10" i="20"/>
  <c r="U10" i="17"/>
  <c r="BW11" i="20"/>
  <c r="BV15" i="16"/>
  <c r="BV16" i="16"/>
  <c r="BW9" i="20"/>
  <c r="T15" i="16"/>
  <c r="BM15" i="11"/>
  <c r="BI17" i="11"/>
  <c r="S9" i="14"/>
  <c r="V9" i="14" s="1"/>
  <c r="S9" i="17"/>
  <c r="BF16" i="11"/>
  <c r="BH15" i="16"/>
  <c r="BH9" i="16"/>
  <c r="AY13" i="13"/>
  <c r="BE9" i="13"/>
  <c r="BB13" i="13"/>
  <c r="D12" i="12"/>
  <c r="F12" i="11"/>
  <c r="AQ12" i="11" s="1"/>
  <c r="BV11" i="16"/>
  <c r="BW12" i="20"/>
  <c r="BV12" i="16"/>
  <c r="BU10" i="17"/>
  <c r="BV17" i="16"/>
  <c r="BU11" i="17"/>
  <c r="AZ15" i="11"/>
  <c r="AZ18" i="11" s="1"/>
  <c r="AP17" i="20"/>
  <c r="AZ9" i="11"/>
  <c r="AZ13" i="11" s="1"/>
  <c r="BH17" i="11"/>
  <c r="BG9" i="11"/>
  <c r="R10" i="21"/>
  <c r="R13" i="21" s="1"/>
  <c r="R19" i="21" s="1"/>
  <c r="BI15" i="11"/>
  <c r="Q10" i="21"/>
  <c r="V11" i="11"/>
  <c r="BK15" i="11"/>
  <c r="S17" i="16"/>
  <c r="BF17" i="11"/>
  <c r="Q17" i="20"/>
  <c r="Q18" i="20" s="1"/>
  <c r="BH15" i="11"/>
  <c r="V15" i="11"/>
  <c r="AP16" i="20"/>
  <c r="BK17" i="11"/>
  <c r="R17" i="20"/>
  <c r="R18" i="20" s="1"/>
  <c r="BG15" i="11"/>
  <c r="AP15" i="20"/>
  <c r="BJ12" i="11"/>
  <c r="BJ15" i="11"/>
  <c r="AO16" i="17"/>
  <c r="V9" i="11"/>
  <c r="BH9" i="11"/>
  <c r="BM12" i="11"/>
  <c r="AP10" i="21"/>
  <c r="X9" i="17"/>
  <c r="BK11" i="11"/>
  <c r="AO12" i="17"/>
  <c r="V12" i="21"/>
  <c r="R12" i="14"/>
  <c r="BK9" i="11"/>
  <c r="BF10" i="11"/>
  <c r="BK12" i="11"/>
  <c r="BL17" i="11"/>
  <c r="P17" i="17"/>
  <c r="BM16" i="11"/>
  <c r="BG10"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K16" i="12" l="1"/>
  <c r="Y13" i="11"/>
  <c r="C18" i="6"/>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L20" i="16"/>
  <c r="BE20" i="21"/>
  <c r="AR20" i="16"/>
  <c r="AF20" i="11"/>
  <c r="AB20" i="17"/>
  <c r="X20" i="17"/>
  <c r="J20" i="12"/>
  <c r="K20" i="11"/>
  <c r="BJ20" i="16"/>
  <c r="R20" i="21"/>
  <c r="BI20" i="16"/>
  <c r="J20" i="16"/>
  <c r="T20" i="11"/>
  <c r="AG20" i="11"/>
  <c r="L20" i="17"/>
  <c r="M20" i="16"/>
  <c r="AP20" i="17"/>
  <c r="AL20" i="11"/>
  <c r="AM20" i="21"/>
  <c r="G20" i="12"/>
  <c r="Q20" i="17"/>
  <c r="R20" i="16"/>
  <c r="AO20" i="11"/>
  <c r="N20" i="17"/>
  <c r="AC20" i="17"/>
  <c r="AK20" i="11"/>
  <c r="O20" i="11"/>
  <c r="H20" i="12"/>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F20" i="16"/>
  <c r="H20" i="11"/>
  <c r="AW20" i="21"/>
  <c r="BH20" i="16"/>
  <c r="S20" i="11"/>
  <c r="J20" i="21"/>
  <c r="W20" i="11"/>
  <c r="BK20" i="16"/>
  <c r="BD20" i="16"/>
  <c r="U20" i="20"/>
  <c r="AD20" i="21"/>
  <c r="L20" i="11"/>
  <c r="AP20" i="16"/>
  <c r="AE20" i="21"/>
  <c r="V20" i="20"/>
  <c r="X20" i="16"/>
  <c r="I20" i="11"/>
  <c r="AT20" i="11"/>
  <c r="AV20" i="17"/>
  <c r="AR20" i="17"/>
  <c r="AW20" i="17"/>
  <c r="BN20" i="16"/>
  <c r="BB20" i="16"/>
  <c r="AN20" i="17"/>
  <c r="Q20" i="21"/>
  <c r="P20" i="21"/>
  <c r="BS20" i="16"/>
  <c r="AU20" i="21"/>
  <c r="AO20" i="17"/>
  <c r="S20" i="17"/>
  <c r="AW20" i="16"/>
  <c r="AP20" i="21"/>
  <c r="AU20" i="11"/>
  <c r="BF20" i="16"/>
  <c r="AA20" i="21"/>
  <c r="N20" i="21"/>
  <c r="H20" i="16"/>
  <c r="AK20" i="17"/>
  <c r="AT20" i="20"/>
  <c r="I20" i="16"/>
  <c r="F20" i="17"/>
  <c r="AC20" i="11"/>
  <c r="AA20" i="17"/>
  <c r="O12" i="11"/>
  <c r="I20" i="12"/>
  <c r="BM20" i="16"/>
  <c r="BD19" i="8" l="1"/>
  <c r="BL20" i="16"/>
  <c r="AP20" i="11"/>
  <c r="AQ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<sst xmlns="http://schemas.openxmlformats.org/spreadsheetml/2006/main" count="2122" uniqueCount="918">
  <si>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</si>
  <si>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</si>
  <si>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</si>
  <si>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</si>
  <si>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</si>
  <si>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</si>
  <si>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</si>
  <si>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</si>
  <si>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</si>
  <si>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</si>
  <si>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</si>
  <si>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</si>
  <si>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</si>
  <si>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</si>
  <si>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</si>
  <si>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</si>
  <si>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</si>
  <si>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</si>
  <si>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</si>
  <si>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</si>
  <si>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</si>
  <si>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</si>
  <si>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</si>
  <si>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</si>
  <si>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</si>
  <si>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</si>
  <si>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</si>
  <si>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</si>
  <si>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</si>
  <si>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</si>
  <si>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</si>
  <si>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</si>
  <si>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</si>
  <si>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</si>
  <si>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</si>
  <si>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</si>
  <si>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</si>
  <si>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</si>
  <si>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</si>
  <si>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</si>
  <si>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</si>
  <si>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</si>
  <si>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</si>
  <si>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</si>
  <si>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</si>
  <si>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</si>
  <si>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</si>
  <si>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</si>
  <si>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</si>
  <si>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</si>
  <si>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</si>
  <si>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</si>
  <si>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</si>
  <si>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</si>
  <si>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</si>
  <si>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</si>
  <si>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</si>
  <si>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</si>
  <si>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</si>
  <si>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</si>
  <si>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</si>
  <si>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</si>
  <si>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</si>
  <si>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</si>
  <si>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</si>
  <si>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</si>
  <si>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</si>
  <si>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</si>
  <si>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</si>
  <si>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</si>
  <si>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</si>
  <si>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</si>
  <si>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</si>
  <si>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</si>
  <si>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</si>
  <si>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</si>
  <si>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</si>
  <si>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</si>
  <si>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</si>
  <si>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</si>
  <si>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</si>
  <si>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</si>
  <si>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</si>
  <si>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</si>
  <si>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</si>
  <si>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</si>
  <si>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</si>
  <si>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</si>
  <si>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</si>
  <si>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</si>
  <si>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</si>
  <si>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</si>
  <si>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</si>
  <si>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</si>
  <si>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</si>
  <si>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</si>
  <si>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</si>
  <si>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</si>
  <si>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</si>
  <si>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</si>
  <si>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</si>
  <si>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</si>
  <si>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</si>
  <si>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</si>
  <si>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</si>
  <si>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</si>
  <si>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</si>
  <si>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</si>
  <si>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</si>
  <si>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</si>
  <si>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</si>
  <si>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</si>
  <si>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</si>
  <si>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</si>
  <si>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</si>
  <si>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</si>
  <si>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</si>
  <si>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</si>
  <si>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</si>
  <si>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</si>
  <si>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</si>
  <si>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</si>
  <si>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</si>
  <si>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</si>
  <si>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</si>
  <si>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</si>
  <si>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</si>
  <si>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</si>
  <si>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</si>
  <si>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</si>
  <si>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</si>
  <si>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</si>
  <si>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</si>
  <si>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</si>
  <si>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</si>
  <si>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</si>
  <si>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</si>
  <si>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</si>
  <si>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</si>
  <si>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</si>
  <si>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</si>
  <si>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</si>
  <si>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</si>
  <si>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</si>
  <si>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</si>
  <si>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</si>
  <si>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</si>
  <si>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</si>
  <si>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</si>
  <si>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</si>
  <si>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</si>
  <si>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</si>
  <si>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</si>
  <si>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</si>
  <si>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</si>
  <si>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</si>
  <si>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</si>
  <si>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</si>
  <si>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</si>
  <si>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</si>
  <si>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</si>
  <si>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</si>
  <si>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</si>
  <si>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</si>
  <si>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</si>
  <si>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</si>
  <si>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</si>
  <si>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</si>
  <si>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</si>
  <si>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</si>
  <si>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</si>
  <si>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</si>
  <si>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</si>
  <si>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</si>
  <si>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</si>
  <si>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</si>
  <si>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</si>
  <si>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</si>
  <si>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</si>
  <si>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</si>
  <si>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</si>
  <si>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</si>
  <si>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</si>
  <si>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</si>
  <si>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</si>
  <si>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</si>
  <si>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</si>
  <si>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</si>
  <si>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</si>
  <si>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</si>
  <si>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</si>
  <si>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</si>
  <si>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</si>
  <si>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</si>
  <si>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</si>
  <si>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</si>
  <si>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</si>
  <si>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</si>
  <si>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</si>
  <si>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</si>
  <si>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</si>
  <si>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</si>
  <si>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</si>
  <si>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</si>
  <si>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</si>
  <si>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</si>
  <si>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</si>
  <si>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</si>
  <si>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</si>
  <si>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</si>
  <si>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</si>
  <si>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</si>
  <si>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</si>
  <si>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</si>
  <si>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</si>
  <si>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</si>
  <si>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</si>
  <si>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</si>
  <si>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</si>
  <si>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</si>
  <si>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</si>
  <si>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</si>
  <si>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</si>
  <si>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</si>
  <si>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</si>
  <si>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</si>
  <si>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</si>
  <si>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</si>
  <si>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</si>
  <si>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</si>
  <si>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</si>
  <si>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</si>
  <si>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</si>
  <si>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</si>
  <si>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</si>
  <si>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</si>
  <si>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</si>
  <si>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</si>
  <si>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</si>
  <si>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</si>
  <si>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</si>
  <si>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</si>
  <si>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</si>
  <si>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</si>
  <si>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</si>
  <si>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</si>
  <si>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</si>
  <si>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</si>
  <si>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</si>
  <si>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</si>
  <si>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</si>
  <si>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</si>
  <si>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</si>
  <si>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</si>
  <si>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</si>
  <si>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</si>
  <si>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</si>
  <si>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</si>
  <si>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</si>
  <si>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</si>
  <si>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</si>
  <si>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</si>
  <si>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</si>
  <si>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</si>
  <si>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</si>
  <si>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</si>
  <si>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</si>
  <si>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</si>
  <si>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</si>
  <si>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</si>
  <si>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</si>
  <si>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</si>
  <si>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</si>
  <si>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</si>
  <si>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</si>
  <si>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</si>
  <si>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</si>
  <si>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</si>
  <si>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</si>
  <si>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</si>
  <si>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</si>
  <si>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</si>
  <si>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</si>
  <si>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</si>
  <si>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</si>
  <si>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</si>
  <si>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</si>
  <si>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</si>
  <si>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</si>
  <si>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</si>
  <si>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</si>
  <si>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</si>
  <si>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</si>
  <si>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</si>
  <si>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</si>
  <si>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</si>
  <si>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</si>
  <si>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</si>
  <si>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</si>
  <si>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</si>
  <si>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</si>
  <si>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</si>
  <si>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</si>
  <si>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</si>
  <si>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</si>
  <si>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</si>
  <si>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</si>
  <si>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</si>
  <si>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</si>
  <si>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</si>
  <si>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</si>
  <si>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</si>
  <si>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</si>
  <si>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</si>
  <si>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</si>
  <si>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</si>
  <si>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</si>
  <si>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</si>
  <si>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</si>
  <si>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</si>
  <si>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</si>
  <si>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</si>
  <si>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</si>
  <si>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</si>
  <si>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</si>
  <si>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</si>
  <si>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</si>
  <si>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</si>
  <si>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</si>
  <si>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</si>
  <si>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</si>
  <si>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</si>
  <si>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</si>
  <si>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</si>
  <si>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</si>
  <si>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</si>
  <si>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</si>
  <si>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</si>
  <si>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</si>
  <si>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</si>
  <si>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</si>
  <si>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</si>
  <si>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</si>
  <si>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</si>
  <si>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</si>
  <si>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</si>
  <si>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</si>
  <si>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</si>
  <si>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</si>
  <si>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</si>
  <si>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</si>
  <si>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</si>
  <si>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</si>
  <si>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</si>
  <si>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</si>
  <si>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</si>
  <si>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</si>
  <si>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</si>
  <si>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</si>
  <si>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</si>
  <si>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</si>
  <si>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</si>
  <si>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</si>
  <si>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</si>
  <si>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</si>
  <si>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</si>
  <si>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</si>
  <si>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</si>
  <si>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</si>
  <si>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</si>
  <si>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</si>
  <si>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</si>
  <si>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</si>
  <si>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</si>
  <si>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</si>
  <si>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</si>
  <si>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</si>
  <si>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</si>
  <si>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</si>
  <si>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</si>
  <si>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</si>
  <si>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</si>
  <si>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</si>
  <si>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</si>
  <si>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</si>
  <si>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</si>
  <si>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</si>
  <si>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</si>
  <si>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</si>
  <si>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</si>
  <si>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</si>
  <si>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</si>
  <si>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</si>
  <si>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</si>
  <si>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</si>
  <si>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</si>
  <si>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</si>
  <si>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</si>
  <si>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</si>
  <si>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</si>
  <si>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</si>
  <si>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</si>
  <si>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</si>
  <si>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</si>
  <si>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</si>
  <si>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</si>
  <si>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</si>
  <si>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</si>
  <si>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</si>
  <si>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</si>
  <si>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</si>
  <si>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</si>
  <si>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</si>
  <si>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</si>
  <si>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</si>
  <si>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</si>
  <si>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</si>
  <si>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</si>
  <si>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</si>
  <si>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</si>
  <si>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</si>
  <si>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</si>
  <si>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</si>
  <si>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</si>
  <si>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</si>
  <si>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</si>
  <si>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</si>
  <si>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</si>
  <si>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</si>
  <si>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</si>
  <si>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</si>
  <si>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</si>
  <si>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</si>
  <si>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</si>
  <si>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</si>
  <si>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</si>
  <si>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</si>
  <si>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</si>
  <si>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</si>
  <si>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</si>
  <si>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</si>
  <si>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</si>
  <si>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</si>
  <si>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</si>
  <si>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</si>
  <si>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</si>
  <si>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</si>
  <si>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</si>
  <si>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</si>
  <si>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</si>
  <si>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</si>
  <si>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</si>
  <si>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</si>
  <si>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</si>
  <si>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</si>
  <si>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</si>
  <si>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</si>
  <si>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</si>
  <si>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</si>
  <si>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</si>
  <si>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</si>
  <si>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</si>
  <si>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</si>
  <si>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</si>
  <si>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</si>
  <si>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</si>
  <si>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</si>
  <si>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</si>
  <si>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</si>
  <si>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</si>
  <si>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</si>
  <si>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</si>
  <si>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</si>
  <si>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</si>
  <si>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</si>
  <si>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</si>
  <si>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</si>
  <si>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</si>
  <si>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</si>
  <si>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</si>
  <si>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</si>
  <si>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</si>
  <si>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</si>
  <si>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</si>
  <si>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</si>
  <si>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</si>
  <si>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</si>
  <si>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</si>
  <si>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</si>
  <si>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</si>
  <si>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</si>
  <si>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</si>
  <si>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</si>
  <si>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</si>
  <si>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</si>
  <si>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</si>
  <si>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</si>
  <si>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</si>
  <si>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</si>
  <si>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</si>
  <si>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</si>
  <si>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</si>
  <si>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</si>
  <si>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</si>
  <si>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</si>
  <si>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</si>
  <si>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</si>
  <si>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</si>
  <si>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</si>
  <si>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</si>
  <si>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</si>
  <si>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</si>
  <si>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</si>
  <si>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</si>
  <si>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</si>
  <si>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</si>
  <si>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</si>
  <si>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</si>
  <si>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</si>
  <si>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</si>
  <si>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</si>
  <si>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</si>
  <si>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</si>
  <si>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</si>
  <si>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</si>
  <si>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</si>
  <si>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</si>
  <si>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</si>
  <si>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</si>
  <si>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</si>
  <si>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</si>
  <si>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</si>
  <si>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</si>
  <si>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</si>
  <si>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</si>
  <si>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</si>
  <si>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</si>
  <si>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</si>
  <si>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</si>
  <si>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</si>
  <si>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</si>
  <si>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</si>
  <si>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</si>
  <si>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</si>
  <si>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</si>
  <si>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</si>
  <si>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</si>
  <si>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</si>
  <si>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</si>
  <si>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</si>
  <si>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</si>
  <si>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</si>
  <si>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</si>
  <si>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</si>
  <si>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</si>
  <si>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</si>
  <si>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</si>
  <si>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</si>
  <si>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</si>
  <si>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</si>
  <si>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</si>
  <si>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</si>
  <si>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</si>
  <si>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</si>
  <si>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</si>
  <si>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</si>
  <si>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</si>
  <si>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</si>
  <si>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</si>
  <si>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</si>
  <si>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</si>
  <si>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</si>
  <si>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</si>
  <si>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</si>
  <si>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</si>
  <si>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</si>
  <si>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</si>
  <si>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</si>
  <si>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</si>
  <si>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</si>
  <si>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</si>
  <si>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</si>
  <si>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</si>
  <si>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</si>
  <si>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</si>
  <si>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</si>
  <si>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</si>
  <si>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</si>
  <si>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</si>
  <si>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</si>
  <si>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</si>
  <si>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</si>
  <si>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</si>
  <si>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</si>
  <si>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</si>
  <si>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</si>
  <si>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</si>
  <si>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</si>
  <si>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</si>
  <si>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</si>
  <si>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</si>
  <si>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</si>
  <si>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</si>
  <si>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</si>
  <si>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</si>
  <si>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</si>
  <si>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</si>
  <si>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</si>
  <si>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</si>
  <si>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</si>
  <si>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</si>
  <si>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</si>
  <si>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</si>
  <si>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</si>
  <si>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</si>
  <si>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</si>
  <si>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</si>
  <si>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</si>
  <si>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</si>
  <si>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</si>
  <si>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</si>
  <si>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</si>
  <si>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</si>
  <si>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</si>
  <si>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</si>
  <si>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</si>
  <si>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</si>
  <si>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</si>
  <si>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</si>
  <si>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</si>
  <si>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</si>
  <si>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</si>
  <si>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</si>
  <si>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</si>
  <si>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</si>
  <si>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</si>
  <si>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</si>
  <si>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</si>
  <si>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</si>
  <si>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</si>
  <si>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</si>
  <si>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</si>
  <si>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</si>
  <si>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</si>
  <si>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</si>
  <si>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</si>
  <si>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</si>
  <si>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</si>
  <si>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</si>
  <si>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</si>
  <si>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</si>
  <si>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</si>
  <si>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</si>
  <si>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</si>
  <si>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</si>
  <si>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</si>
  <si>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</si>
  <si>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</si>
  <si>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</si>
  <si>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</si>
  <si>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</si>
  <si>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</si>
  <si>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</si>
  <si>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</si>
  <si>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</si>
  <si>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</si>
  <si>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</si>
  <si>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</si>
  <si>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</si>
  <si>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</si>
  <si>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</si>
  <si>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</si>
  <si>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</si>
  <si>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</si>
  <si>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</si>
  <si>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</si>
  <si>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</si>
  <si>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</si>
  <si>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</si>
  <si>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</si>
  <si>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</si>
  <si>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</si>
  <si>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</si>
  <si>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</si>
  <si>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</si>
  <si>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</si>
  <si>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</si>
  <si>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</si>
  <si>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</si>
  <si>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</si>
  <si>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</si>
  <si>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</si>
  <si>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</si>
  <si>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</si>
  <si>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</si>
  <si>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</si>
  <si>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</si>
  <si>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</si>
  <si>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</si>
  <si>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</si>
  <si>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</si>
  <si>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</si>
  <si>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</si>
  <si>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</si>
  <si>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</si>
  <si>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</si>
  <si>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</si>
  <si>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</si>
  <si>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</si>
  <si>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</si>
  <si>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</si>
  <si>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</si>
  <si>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</si>
  <si>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</si>
  <si>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</si>
  <si>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</si>
  <si>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</si>
  <si>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</si>
  <si>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</si>
  <si>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</si>
  <si>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</si>
  <si>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</si>
  <si>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</si>
  <si>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</si>
  <si>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</si>
  <si>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</si>
  <si>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</si>
  <si>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</si>
  <si>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</si>
  <si>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</si>
  <si>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</si>
  <si>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</si>
  <si>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</si>
  <si>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</si>
  <si>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</si>
  <si>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</si>
  <si>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</si>
  <si>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</si>
  <si>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</si>
  <si>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</si>
  <si>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</si>
  <si>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</si>
  <si>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</si>
  <si>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</si>
  <si>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</si>
  <si>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</si>
  <si>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</si>
  <si>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</si>
  <si>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</si>
  <si>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</si>
  <si>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</si>
  <si>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</si>
  <si>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</si>
  <si>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</si>
  <si>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</si>
  <si>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</si>
  <si>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</si>
  <si>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</si>
  <si>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</si>
  <si>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</si>
  <si>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</si>
  <si>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</si>
  <si>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</si>
  <si>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</si>
  <si>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</si>
  <si>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</si>
  <si>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</si>
  <si>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</si>
  <si>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</si>
  <si>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</si>
  <si>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</si>
  <si>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</si>
  <si>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</si>
  <si>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</si>
  <si>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</si>
  <si>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</si>
  <si>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</si>
  <si>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</si>
  <si>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</si>
  <si>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</si>
  <si>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</si>
  <si>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</si>
  <si>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</si>
  <si>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</si>
  <si>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</si>
  <si>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</si>
  <si>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</si>
  <si>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</si>
  <si>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</si>
  <si>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</si>
  <si>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</si>
  <si>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</si>
  <si>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</si>
  <si>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</si>
  <si>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</si>
  <si>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</si>
  <si>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</si>
  <si>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</si>
  <si>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</si>
  <si>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</si>
  <si>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</si>
  <si>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</si>
  <si>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</si>
  <si>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</si>
  <si>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</si>
  <si>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</si>
  <si>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</si>
  <si>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</si>
  <si>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</si>
  <si>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</si>
  <si>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</si>
  <si>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</si>
  <si>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</si>
  <si>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</si>
  <si>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</si>
  <si>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</si>
  <si>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</si>
  <si>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</si>
  <si>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</si>
  <si>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</si>
  <si>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</si>
  <si>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</si>
  <si>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</si>
  <si>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</si>
  <si>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</si>
  <si>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</si>
  <si>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</si>
  <si>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</si>
  <si>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</si>
  <si>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</si>
  <si>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</si>
  <si>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</si>
  <si>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</si>
  <si>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</si>
  <si>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</si>
  <si>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</si>
  <si>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</si>
  <si>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</si>
  <si>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</si>
  <si>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</si>
  <si>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</si>
  <si>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</si>
  <si>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</si>
  <si>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</si>
  <si>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</si>
  <si>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</si>
  <si>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</si>
  <si>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</si>
  <si>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</si>
  <si>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</si>
  <si>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</si>
  <si>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</si>
  <si>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</si>
  <si>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</si>
  <si>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</si>
  <si>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</si>
  <si>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</si>
  <si>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</si>
  <si>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</si>
  <si>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</si>
  <si>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</si>
  <si>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</si>
  <si>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</si>
  <si>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</si>
  <si>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</si>
  <si>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</si>
  <si>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</si>
  <si>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</si>
  <si>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</si>
  <si>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</si>
  <si>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</si>
  <si>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</si>
  <si>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</si>
  <si>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</si>
  <si>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</si>
  <si>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</si>
  <si>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</si>
  <si>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</si>
  <si>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</si>
  <si>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</si>
  <si>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</si>
  <si>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</si>
  <si>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</si>
  <si>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</si>
  <si>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</si>
  <si>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</si>
  <si>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</si>
  <si>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</si>
  <si>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</si>
  <si>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</si>
  <si>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</si>
  <si>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</si>
  <si>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</si>
  <si>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</si>
  <si>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</si>
  <si>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</si>
  <si>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</si>
  <si>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</si>
  <si>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</si>
  <si>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</si>
  <si>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</si>
  <si>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</si>
  <si>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</si>
  <si>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</si>
  <si>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</si>
  <si>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</si>
  <si>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</si>
  <si>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</si>
  <si>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</si>
  <si>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</si>
  <si>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</si>
  <si>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</si>
  <si>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</si>
  <si>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EXTREMADURA</t>
  </si>
  <si>
    <t>Provincias</t>
  </si>
  <si>
    <t>CACERES</t>
  </si>
  <si>
    <t>Resumenes por Partidos Judiciales</t>
  </si>
  <si>
    <t>LOGROSAN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</si>
</sst>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Mb5C5o9gs6dTqEXcvhO2MsOaKq/AR1ZfJvoUeykQVHcKk7XfOIXnX77rTTMhKaK55KRp4i7pIwBw3P7xy65dw==" saltValue="TVQ/jEdhjgT7ouMAKKeu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0</v>
      </c>
      <c r="B10" s="501" t="str">
        <f>Datos!A10</f>
        <v>Jdos. Violencia contra la mujer/Secc Viol. TI.</v>
      </c>
      <c r="C10" s="224" t="str">
        <f t="shared" si="0"/>
        <v xml:space="preserve"> - </v>
      </c>
      <c r="D10" s="224" t="str">
        <f>IF(ISNUMBER(Datos!I10),Datos!I10," - ")</f>
        <v xml:space="preserve"> - </v>
      </c>
      <c r="E10" s="225" t="str">
        <f>IF(ISNUMBER(Datos!J10),Datos!J10," - ")</f>
        <v xml:space="preserve"> - </v>
      </c>
      <c r="F10" s="225" t="str">
        <f>IF(ISNUMBER(Datos!K10),Datos!K10," - ")</f>
        <v xml:space="preserve"> - </v>
      </c>
      <c r="G10" s="1033" t="str">
        <f>IF(Datos!E10&lt;&gt;"",Datos!E10,Datos!D10)</f>
        <v>37</v>
      </c>
      <c r="H10" s="226" t="str">
        <f>IF(ISNUMBER(Datos!L10),Datos!L10," - ")</f>
        <v xml:space="preserve"> - </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43.484375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125</v>
      </c>
      <c r="D16" s="224">
        <f>IF(ISNUMBER(IF(D_I="SI",Datos!I16,Datos!I16+Datos!AC16)),IF(D_I="SI",Datos!I16,Datos!I16+Datos!AC16)," - ")</f>
        <v>125</v>
      </c>
      <c r="E16" s="225">
        <f>IF(ISNUMBER(IF(D_I="SI",Datos!J16,Datos!J16+Datos!AD16)),IF(D_I="SI",Datos!J16,Datos!J16+Datos!AD16)," - ")</f>
        <v>111</v>
      </c>
      <c r="F16" s="225">
        <f>IF(ISNUMBER(IF(D_I="SI",Datos!K16,Datos!K16+Datos!AE16)),IF(D_I="SI",Datos!K16,Datos!K16+Datos!AE16)," - ")</f>
        <v>120</v>
      </c>
      <c r="G16" s="1033" t="str">
        <f>IF(Datos!E16&lt;&gt;"",Datos!E16,Datos!D16)</f>
        <v>04</v>
      </c>
      <c r="H16" s="226">
        <f>IF(ISNUMBER(IF(D_I="SI",Datos!L16,Datos!L16+Datos!AF16)),IF(D_I="SI",Datos!L16,Datos!L16+Datos!AF16)," - ")</f>
        <v>116</v>
      </c>
      <c r="I16" s="1043" t="str">
        <f>IF(ISNUMBER(Datos!AS16/Datos!BM16),Datos!AS16/Datos!BM16," - ")</f>
        <v xml:space="preserve"> - </v>
      </c>
      <c r="J16" s="1044">
        <f>IF(ISNUMBER(Datos!BY16/Datos!CN16),Datos!BY16/Datos!CN16," - ")</f>
        <v>0</v>
      </c>
      <c r="K16" s="229">
        <f t="shared" si="3"/>
        <v>-7.1999999999999995E-2</v>
      </c>
      <c r="L16" s="1024">
        <f>IF(ISNUMBER(NºAsuntos!I16/NºAsuntos!G16),(NºAsuntos!I16/NºAsuntos!G16)*11," - ")</f>
        <v>10.633333333333333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0</v>
      </c>
      <c r="B17" s="501" t="str">
        <f>Datos!A17</f>
        <v>Jdos. Violencia contra la mujer/Secc Viol. TI.</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33" t="str">
        <f>IF(Datos!E17&lt;&gt;"",Datos!E17,Datos!D17)</f>
        <v>37</v>
      </c>
      <c r="H17" s="226" t="str">
        <f>IF(ISNUMBER(IF(D_I="SI",Datos!L17,Datos!L17+Datos!AF17)),IF(D_I="SI",Datos!L17,Datos!L17+Datos!AF17)," - ")</f>
        <v xml:space="preserve"> - </v>
      </c>
      <c r="I17" s="1043" t="str">
        <f>IF(ISNUMBER(Datos!AS17/Datos!BM17),Datos!AS17/Datos!BM17," - ")</f>
        <v xml:space="preserve"> - </v>
      </c>
      <c r="J17" s="1044" t="str">
        <f>IF(ISNUMBER((Datos!BY17+Datos!BZ17)/Datos!CN17),(Datos!BY17+Datos!BZ17)/Datos!CN17," - ")</f>
        <v xml:space="preserve"> - </v>
      </c>
      <c r="K17" s="229" t="str">
        <f t="shared" si="3"/>
        <v xml:space="preserve"> - </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125</v>
      </c>
      <c r="D18" s="1048">
        <f>SUBTOTAL(9,D15:D17)</f>
        <v>125</v>
      </c>
      <c r="E18" s="1049">
        <f>SUBTOTAL(9,E15:E17)</f>
        <v>111</v>
      </c>
      <c r="F18" s="1049">
        <f>SUBTOTAL(9,F15:F17)</f>
        <v>120</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125</v>
      </c>
      <c r="D19" s="1070">
        <f>SUBTOTAL(9,D9:D18)</f>
        <v>125</v>
      </c>
      <c r="E19" s="1071">
        <f>SUBTOTAL(9,E9:E18)</f>
        <v>111</v>
      </c>
      <c r="F19" s="1071">
        <f>SUBTOTAL(9,F9:F18)</f>
        <v>120</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xhnwjbC1UNsNYpFhnefRMYN+W89OtR93f15/ag5CYdKUByl8MZiYBqMSG33jt7uBPER11+C6tnH22QqWsVeKw==" saltValue="9ZnLPfJ9DkuqSoLeweLMz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asFgKhTZwzEGBB2rtgQficRoCpMLSkDwKix5ecfMepqNXg0IaMCcHSiiYyN7TL1UrFe5QX+tR5vUEbQUQJdVQ==" saltValue="m2YCVEFG5+vWVeOWVuCK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t="s">
        <v>905</v>
      </c>
      <c r="J10" s="180" t="s">
        <v>898</v>
      </c>
      <c r="K10" s="180" t="s">
        <v>901</v>
      </c>
      <c r="L10" s="180" t="s">
        <v>906</v>
      </c>
      <c r="M10" s="180" t="s">
        <v>513</v>
      </c>
      <c r="N10" s="180" t="s">
        <v>139</v>
      </c>
      <c r="O10" s="180" t="s">
        <v>227</v>
      </c>
      <c r="P10" s="180" t="s">
        <v>140</v>
      </c>
      <c r="Q10" s="180" t="s">
        <v>141</v>
      </c>
      <c r="R10" s="180" t="s">
        <v>142</v>
      </c>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v>0</v>
      </c>
      <c r="AP10" s="154">
        <v>0</v>
      </c>
      <c r="AQ10" s="153">
        <v>0</v>
      </c>
      <c r="AR10" s="154">
        <v>0</v>
      </c>
      <c r="AS10" s="338" t="s">
        <v>785</v>
      </c>
      <c r="AT10" s="191"/>
      <c r="AU10" s="199"/>
      <c r="AV10" s="191"/>
      <c r="AW10" s="199"/>
      <c r="AX10" s="191"/>
      <c r="AY10" s="128" t="str">
        <f t="shared" ref="AY10:BC10" si="0">IF(ISNUMBER(S10),S10," - ")</f>
        <v xml:space="preserve"> - </v>
      </c>
      <c r="AZ10" s="129" t="str">
        <f t="shared" si="0"/>
        <v xml:space="preserve"> - </v>
      </c>
      <c r="BA10" s="129" t="str">
        <f t="shared" si="0"/>
        <v xml:space="preserve"> - </v>
      </c>
      <c r="BB10" s="129" t="str">
        <f t="shared" si="0"/>
        <v xml:space="preserve"> - </v>
      </c>
      <c r="BC10" s="125" t="str">
        <f t="shared" si="0"/>
        <v xml:space="preserve"> - </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0</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294</v>
      </c>
      <c r="J12" s="182">
        <v>67</v>
      </c>
      <c r="K12" s="182">
        <v>61</v>
      </c>
      <c r="L12" s="182">
        <v>250</v>
      </c>
      <c r="M12" s="182">
        <v>29</v>
      </c>
      <c r="N12" s="182">
        <v>11</v>
      </c>
      <c r="O12" s="180">
        <v>19</v>
      </c>
      <c r="P12" s="182">
        <v>31</v>
      </c>
      <c r="Q12" s="182">
        <v>21</v>
      </c>
      <c r="R12" s="182">
        <v>412</v>
      </c>
      <c r="S12" s="182">
        <v>260</v>
      </c>
      <c r="T12" s="182">
        <v>112</v>
      </c>
      <c r="U12" s="182">
        <v>62</v>
      </c>
      <c r="V12" s="182">
        <v>310</v>
      </c>
      <c r="W12" s="182">
        <v>19</v>
      </c>
      <c r="X12" s="188">
        <v>9</v>
      </c>
      <c r="Y12" s="190">
        <v>1</v>
      </c>
      <c r="Z12" s="180">
        <v>5</v>
      </c>
      <c r="AA12" s="180">
        <v>3</v>
      </c>
      <c r="AB12" s="180">
        <v>3</v>
      </c>
      <c r="AC12" s="182">
        <v>0</v>
      </c>
      <c r="AD12" s="182">
        <v>0</v>
      </c>
      <c r="AE12" s="182">
        <v>0</v>
      </c>
      <c r="AF12" s="188">
        <v>0</v>
      </c>
      <c r="AG12" s="201">
        <v>12</v>
      </c>
      <c r="AH12" s="182">
        <v>5</v>
      </c>
      <c r="AI12" s="182">
        <v>6</v>
      </c>
      <c r="AJ12" s="202">
        <v>11</v>
      </c>
      <c r="AK12" s="181">
        <v>0</v>
      </c>
      <c r="AL12" s="182">
        <v>0</v>
      </c>
      <c r="AM12" s="182">
        <v>0</v>
      </c>
      <c r="AN12" s="188">
        <v>0</v>
      </c>
      <c r="AO12" s="258">
        <v>1</v>
      </c>
      <c r="AP12" s="154">
        <v>1</v>
      </c>
      <c r="AQ12" s="154">
        <v>1</v>
      </c>
      <c r="AR12" s="153">
        <v>1</v>
      </c>
      <c r="AS12" s="339" t="s">
        <v>794</v>
      </c>
      <c r="AT12" s="202"/>
      <c r="AU12" s="201"/>
      <c r="AV12" s="202"/>
      <c r="AW12" s="201"/>
      <c r="AX12" s="202"/>
      <c r="AY12" s="126">
        <f t="shared" si="1"/>
        <v>272</v>
      </c>
      <c r="AZ12" s="127">
        <f t="shared" si="1"/>
        <v>117</v>
      </c>
      <c r="BA12" s="127">
        <f t="shared" si="1"/>
        <v>68</v>
      </c>
      <c r="BB12" s="127">
        <f t="shared" si="1"/>
        <v>321</v>
      </c>
      <c r="BC12" s="125">
        <f>IF(ISNUMBER(X12),X12," - ")</f>
        <v>9</v>
      </c>
      <c r="BD12" s="126">
        <f t="shared" si="2"/>
        <v>0.58119658119658124</v>
      </c>
      <c r="BE12" s="127">
        <f t="shared" si="3"/>
        <v>4.7205882352941178</v>
      </c>
      <c r="BF12" s="127">
        <f t="shared" si="4"/>
        <v>0.13235294117647059</v>
      </c>
      <c r="BG12" s="195">
        <f t="shared" si="5"/>
        <v>5.7205882352941178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294</v>
      </c>
      <c r="J13" s="183">
        <f t="shared" si="6"/>
        <v>67</v>
      </c>
      <c r="K13" s="183">
        <f t="shared" si="6"/>
        <v>61</v>
      </c>
      <c r="L13" s="183">
        <f t="shared" si="6"/>
        <v>250</v>
      </c>
      <c r="M13" s="183">
        <f t="shared" si="6"/>
        <v>29</v>
      </c>
      <c r="N13" s="183">
        <f t="shared" si="6"/>
        <v>11</v>
      </c>
      <c r="O13" s="183">
        <f t="shared" si="6"/>
        <v>19</v>
      </c>
      <c r="P13" s="183">
        <f t="shared" si="6"/>
        <v>31</v>
      </c>
      <c r="Q13" s="183">
        <f t="shared" si="6"/>
        <v>21</v>
      </c>
      <c r="R13" s="183">
        <f t="shared" si="6"/>
        <v>412</v>
      </c>
      <c r="S13" s="183">
        <f t="shared" si="6"/>
        <v>260</v>
      </c>
      <c r="T13" s="183">
        <f t="shared" si="6"/>
        <v>112</v>
      </c>
      <c r="U13" s="183">
        <f t="shared" si="6"/>
        <v>62</v>
      </c>
      <c r="V13" s="183">
        <f t="shared" si="6"/>
        <v>310</v>
      </c>
      <c r="W13" s="183">
        <f t="shared" si="6"/>
        <v>19</v>
      </c>
      <c r="X13" s="183">
        <f t="shared" si="6"/>
        <v>9</v>
      </c>
      <c r="Y13" s="183">
        <f t="shared" si="6"/>
        <v>1</v>
      </c>
      <c r="Z13" s="183">
        <f t="shared" si="6"/>
        <v>5</v>
      </c>
      <c r="AA13" s="183">
        <f t="shared" si="6"/>
        <v>3</v>
      </c>
      <c r="AB13" s="183">
        <f t="shared" si="6"/>
        <v>3</v>
      </c>
      <c r="AC13" s="183">
        <f t="shared" si="6"/>
        <v>0</v>
      </c>
      <c r="AD13" s="183">
        <f t="shared" si="6"/>
        <v>0</v>
      </c>
      <c r="AE13" s="183">
        <f t="shared" si="6"/>
        <v>0</v>
      </c>
      <c r="AF13" s="183">
        <f>SUBTOTAL(9,AF9:AF12)</f>
        <v>0</v>
      </c>
      <c r="AG13" s="183">
        <f t="shared" ref="AG13:AT13" si="7">SUBTOTAL(9,AG8:AG12)</f>
        <v>12</v>
      </c>
      <c r="AH13" s="183">
        <f t="shared" si="7"/>
        <v>5</v>
      </c>
      <c r="AI13" s="183">
        <f t="shared" si="7"/>
        <v>6</v>
      </c>
      <c r="AJ13" s="183">
        <f t="shared" si="7"/>
        <v>11</v>
      </c>
      <c r="AK13" s="183">
        <f t="shared" si="7"/>
        <v>0</v>
      </c>
      <c r="AL13" s="183">
        <f t="shared" si="7"/>
        <v>0</v>
      </c>
      <c r="AM13" s="183">
        <f t="shared" si="7"/>
        <v>0</v>
      </c>
      <c r="AN13" s="183">
        <f t="shared" si="7"/>
        <v>0</v>
      </c>
      <c r="AO13" s="183">
        <f t="shared" si="7"/>
        <v>1</v>
      </c>
      <c r="AP13" s="183">
        <f t="shared" si="7"/>
        <v>1</v>
      </c>
      <c r="AQ13" s="183">
        <f t="shared" si="7"/>
        <v>1</v>
      </c>
      <c r="AR13" s="183">
        <f t="shared" si="7"/>
        <v>1</v>
      </c>
      <c r="AS13" s="183">
        <f t="shared" si="7"/>
        <v>0</v>
      </c>
      <c r="AT13" s="183">
        <f t="shared" si="7"/>
        <v>0</v>
      </c>
      <c r="AU13" s="203"/>
      <c r="AV13" s="132"/>
      <c r="AW13" s="203"/>
      <c r="AX13" s="132"/>
      <c r="AY13" s="183">
        <f>SUBTOTAL(9,AY8:AY12)</f>
        <v>272</v>
      </c>
      <c r="AZ13" s="183">
        <f>SUBTOTAL(9,AZ8:AZ12)</f>
        <v>117</v>
      </c>
      <c r="BA13" s="183">
        <f>SUBTOTAL(9,BA8:BA12)</f>
        <v>68</v>
      </c>
      <c r="BB13" s="183">
        <f>SUBTOTAL(9,BB8:BB12)</f>
        <v>321</v>
      </c>
      <c r="BC13" s="183">
        <f>SUBTOTAL(9,BC8:BC12)</f>
        <v>9</v>
      </c>
      <c r="BD13" s="204">
        <f>IF(ISNUMBER(BA13/AZ13),BA13/AZ13," - ")</f>
        <v>0.58119658119658124</v>
      </c>
      <c r="BE13" s="205">
        <f>IF(ISNUMBER(BB13/BA13),BB13/BA13, " - ")</f>
        <v>4.7205882352941178</v>
      </c>
      <c r="BF13" s="205">
        <f>IF(ISNUMBER(BC13/BA13),BC13/BA13, " - ")</f>
        <v>0.13235294117647059</v>
      </c>
      <c r="BG13" s="206">
        <f>IF(ISNUMBER((AY13+AZ13)/BA13),(AY13+AZ13)/BA13," - ")</f>
        <v>5.7205882352941178</v>
      </c>
      <c r="BH13" s="139">
        <f>SUBTOTAL(9,BH8:BH12)</f>
        <v>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125</v>
      </c>
      <c r="J16" s="182">
        <v>111</v>
      </c>
      <c r="K16" s="182">
        <v>120</v>
      </c>
      <c r="L16" s="182">
        <v>116</v>
      </c>
      <c r="M16" s="182">
        <v>6</v>
      </c>
      <c r="N16" s="182">
        <v>91</v>
      </c>
      <c r="O16" s="180">
        <v>0</v>
      </c>
      <c r="P16" s="182">
        <v>0</v>
      </c>
      <c r="Q16" s="182">
        <v>2</v>
      </c>
      <c r="R16" s="182">
        <v>22</v>
      </c>
      <c r="S16" s="182">
        <v>187</v>
      </c>
      <c r="T16" s="182">
        <v>123</v>
      </c>
      <c r="U16" s="182">
        <v>102</v>
      </c>
      <c r="V16" s="182">
        <v>208</v>
      </c>
      <c r="W16" s="182">
        <v>31</v>
      </c>
      <c r="X16" s="188">
        <v>56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187</v>
      </c>
      <c r="AZ16" s="127">
        <f t="shared" si="9"/>
        <v>123</v>
      </c>
      <c r="BA16" s="127">
        <f t="shared" si="9"/>
        <v>102</v>
      </c>
      <c r="BB16" s="127">
        <f t="shared" si="9"/>
        <v>208</v>
      </c>
      <c r="BC16" s="125">
        <f>IF(ISNUMBER(W16),W16," - ")</f>
        <v>31</v>
      </c>
      <c r="BD16" s="126">
        <f t="shared" ref="BD16" si="11">IF(ISNUMBER(BA16/AZ16),BA16/AZ16," - ")</f>
        <v>0.82926829268292679</v>
      </c>
      <c r="BE16" s="127">
        <f t="shared" ref="BE16" si="12">IF(ISNUMBER(BB16/BA16),BB16/BA16, " - ")</f>
        <v>2.0392156862745097</v>
      </c>
      <c r="BF16" s="127">
        <f t="shared" ref="BF16" si="13">IF(ISNUMBER(BC16/BA16),BC16/BA16, " - ")</f>
        <v>0.30392156862745096</v>
      </c>
      <c r="BG16" s="195">
        <f t="shared" si="10"/>
        <v>3.0392156862745097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t="s">
        <v>144</v>
      </c>
      <c r="J17" s="182" t="s">
        <v>766</v>
      </c>
      <c r="K17" s="182" t="s">
        <v>146</v>
      </c>
      <c r="L17" s="182" t="s">
        <v>779</v>
      </c>
      <c r="M17" s="182" t="s">
        <v>514</v>
      </c>
      <c r="N17" s="182" t="s">
        <v>151</v>
      </c>
      <c r="O17" s="182" t="s">
        <v>226</v>
      </c>
      <c r="P17" s="182" t="s">
        <v>467</v>
      </c>
      <c r="Q17" s="182" t="s">
        <v>468</v>
      </c>
      <c r="R17" s="182" t="s">
        <v>469</v>
      </c>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v>0</v>
      </c>
      <c r="AP17" s="154">
        <v>0</v>
      </c>
      <c r="AQ17" s="153">
        <v>0</v>
      </c>
      <c r="AR17" s="154">
        <v>0</v>
      </c>
      <c r="AS17" s="338" t="s">
        <v>784</v>
      </c>
      <c r="AT17" s="208"/>
      <c r="AU17" s="199"/>
      <c r="AV17" s="208"/>
      <c r="AW17" s="199"/>
      <c r="AX17" s="208"/>
      <c r="AY17" s="128" t="str">
        <f t="shared" ref="AY17:BB17" si="14">IF(ISNUMBER(S17),S17," - ")</f>
        <v xml:space="preserve"> - </v>
      </c>
      <c r="AZ17" s="129" t="str">
        <f t="shared" si="14"/>
        <v xml:space="preserve"> - </v>
      </c>
      <c r="BA17" s="129" t="str">
        <f t="shared" si="14"/>
        <v xml:space="preserve"> - </v>
      </c>
      <c r="BB17" s="129" t="str">
        <f t="shared" si="14"/>
        <v xml:space="preserve"> - </v>
      </c>
      <c r="BC17" s="125" t="str">
        <f>IF(ISNUMBER(W17),W17," - ")</f>
        <v xml:space="preserve"> - </v>
      </c>
      <c r="BD17" s="126" t="str">
        <f>IF(ISNUMBER(BA17/AZ17),BA17/AZ17," - ")</f>
        <v xml:space="preserve"> - </v>
      </c>
      <c r="BE17" s="127" t="str">
        <f>IF(ISNUMBER(BB17/BA17),BB17/BA17, " - ")</f>
        <v xml:space="preserve"> - </v>
      </c>
      <c r="BF17" s="127" t="str">
        <f>IF(ISNUMBER(BC17/BA17),BC17/BA17, " - ")</f>
        <v xml:space="preserve"> - </v>
      </c>
      <c r="BG17" s="195" t="str">
        <f>IF(ISNUMBER((AY17+AZ17)/BA17),(AY17+AZ17)/BA17," - ")</f>
        <v xml:space="preserve"> - </v>
      </c>
      <c r="BH17" s="154">
        <v>0</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125</v>
      </c>
      <c r="J18" s="183">
        <f t="shared" si="15"/>
        <v>111</v>
      </c>
      <c r="K18" s="183">
        <f t="shared" si="15"/>
        <v>120</v>
      </c>
      <c r="L18" s="183">
        <f t="shared" si="15"/>
        <v>116</v>
      </c>
      <c r="M18" s="183">
        <f t="shared" si="15"/>
        <v>6</v>
      </c>
      <c r="N18" s="183">
        <f t="shared" si="15"/>
        <v>91</v>
      </c>
      <c r="O18" s="183">
        <f t="shared" si="15"/>
        <v>0</v>
      </c>
      <c r="P18" s="183">
        <f t="shared" si="15"/>
        <v>0</v>
      </c>
      <c r="Q18" s="183">
        <f t="shared" si="15"/>
        <v>2</v>
      </c>
      <c r="R18" s="183">
        <f t="shared" si="15"/>
        <v>22</v>
      </c>
      <c r="S18" s="183">
        <f t="shared" si="15"/>
        <v>187</v>
      </c>
      <c r="T18" s="183">
        <f t="shared" si="15"/>
        <v>123</v>
      </c>
      <c r="U18" s="183">
        <f t="shared" si="15"/>
        <v>102</v>
      </c>
      <c r="V18" s="183">
        <f t="shared" si="15"/>
        <v>208</v>
      </c>
      <c r="W18" s="183">
        <f t="shared" si="15"/>
        <v>31</v>
      </c>
      <c r="X18" s="183">
        <f t="shared" si="15"/>
        <v>56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1</v>
      </c>
      <c r="AP18" s="183">
        <f t="shared" si="15"/>
        <v>1</v>
      </c>
      <c r="AQ18" s="183">
        <f t="shared" si="15"/>
        <v>1</v>
      </c>
      <c r="AR18" s="183">
        <f t="shared" si="15"/>
        <v>1</v>
      </c>
      <c r="AS18" s="183">
        <f t="shared" si="15"/>
        <v>0</v>
      </c>
      <c r="AT18" s="183">
        <f t="shared" si="15"/>
        <v>0</v>
      </c>
      <c r="AU18" s="203"/>
      <c r="AV18" s="132"/>
      <c r="AW18" s="203"/>
      <c r="AX18" s="132"/>
      <c r="AY18" s="183">
        <f>SUBTOTAL(9,AY14:AY17)</f>
        <v>187</v>
      </c>
      <c r="AZ18" s="183">
        <f>SUBTOTAL(9,AZ14:AZ17)</f>
        <v>123</v>
      </c>
      <c r="BA18" s="183">
        <f>SUBTOTAL(9,BA14:BA17)</f>
        <v>102</v>
      </c>
      <c r="BB18" s="183">
        <f>SUBTOTAL(9,BB14:BB17)</f>
        <v>208</v>
      </c>
      <c r="BC18" s="183">
        <f>SUBTOTAL(9,BC14:BC17)</f>
        <v>31</v>
      </c>
      <c r="BD18" s="204">
        <f>IF(ISNUMBER(BA18/AZ18),BA18/AZ18," - ")</f>
        <v>0.82926829268292679</v>
      </c>
      <c r="BE18" s="205">
        <f>IF(ISNUMBER(BB18/BA18),BB18/BA18, " - ")</f>
        <v>2.0392156862745097</v>
      </c>
      <c r="BF18" s="205">
        <f>IF(ISNUMBER(BC18/BA18),BC18/BA18, " - ")</f>
        <v>0.30392156862745096</v>
      </c>
      <c r="BG18" s="206">
        <f>IF(ISNUMBER((AY18+AZ18)/BA18),(AY18+AZ18)/BA18," - ")</f>
        <v>3.0392156862745097</v>
      </c>
      <c r="BH18" s="183">
        <f>SUBTOTAL(9,BH14:BH17)</f>
        <v>1</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419</v>
      </c>
      <c r="J19" s="134">
        <f t="shared" si="18"/>
        <v>178</v>
      </c>
      <c r="K19" s="134">
        <f t="shared" si="18"/>
        <v>181</v>
      </c>
      <c r="L19" s="134">
        <f t="shared" si="18"/>
        <v>366</v>
      </c>
      <c r="M19" s="134">
        <f t="shared" si="18"/>
        <v>35</v>
      </c>
      <c r="N19" s="134">
        <f t="shared" si="18"/>
        <v>102</v>
      </c>
      <c r="O19" s="134">
        <f t="shared" si="18"/>
        <v>19</v>
      </c>
      <c r="P19" s="134">
        <f t="shared" si="18"/>
        <v>31</v>
      </c>
      <c r="Q19" s="134">
        <f t="shared" si="18"/>
        <v>23</v>
      </c>
      <c r="R19" s="134">
        <f t="shared" si="18"/>
        <v>434</v>
      </c>
      <c r="S19" s="134">
        <f t="shared" si="18"/>
        <v>447</v>
      </c>
      <c r="T19" s="134">
        <f t="shared" si="18"/>
        <v>235</v>
      </c>
      <c r="U19" s="134">
        <f t="shared" si="18"/>
        <v>164</v>
      </c>
      <c r="V19" s="134">
        <f t="shared" si="18"/>
        <v>518</v>
      </c>
      <c r="W19" s="134">
        <f t="shared" si="18"/>
        <v>50</v>
      </c>
      <c r="X19" s="134">
        <f t="shared" si="18"/>
        <v>65</v>
      </c>
      <c r="Y19" s="134">
        <f t="shared" si="18"/>
        <v>1</v>
      </c>
      <c r="Z19" s="134">
        <f t="shared" si="18"/>
        <v>5</v>
      </c>
      <c r="AA19" s="134">
        <f t="shared" si="18"/>
        <v>3</v>
      </c>
      <c r="AB19" s="134">
        <f t="shared" si="18"/>
        <v>3</v>
      </c>
      <c r="AC19" s="134">
        <f t="shared" si="18"/>
        <v>0</v>
      </c>
      <c r="AD19" s="134">
        <f t="shared" si="18"/>
        <v>0</v>
      </c>
      <c r="AE19" s="134">
        <f t="shared" si="18"/>
        <v>0</v>
      </c>
      <c r="AF19" s="134">
        <f t="shared" si="18"/>
        <v>0</v>
      </c>
      <c r="AG19" s="134">
        <f t="shared" si="18"/>
        <v>12</v>
      </c>
      <c r="AH19" s="134">
        <f t="shared" si="18"/>
        <v>5</v>
      </c>
      <c r="AI19" s="134">
        <f t="shared" si="18"/>
        <v>6</v>
      </c>
      <c r="AJ19" s="134">
        <f t="shared" si="18"/>
        <v>11</v>
      </c>
      <c r="AK19" s="134">
        <f t="shared" si="18"/>
        <v>0</v>
      </c>
      <c r="AL19" s="134">
        <f t="shared" si="18"/>
        <v>0</v>
      </c>
      <c r="AM19" s="134">
        <f t="shared" si="18"/>
        <v>0</v>
      </c>
      <c r="AN19" s="209">
        <f t="shared" si="18"/>
        <v>0</v>
      </c>
      <c r="AO19" s="210">
        <v>1</v>
      </c>
      <c r="AP19" s="210">
        <v>1</v>
      </c>
      <c r="AQ19" s="210">
        <v>1</v>
      </c>
      <c r="AR19" s="210">
        <v>1</v>
      </c>
      <c r="AS19" s="152">
        <f t="shared" si="18"/>
        <v>0</v>
      </c>
      <c r="AT19" s="152">
        <f t="shared" si="18"/>
        <v>0</v>
      </c>
      <c r="AU19" s="210"/>
      <c r="AV19" s="211"/>
      <c r="AW19" s="210"/>
      <c r="AX19" s="211"/>
      <c r="AY19" s="133">
        <f>SUBTOTAL(9,AY9:AY18)</f>
        <v>459</v>
      </c>
      <c r="AZ19" s="134">
        <f>SUBTOTAL(9,AZ9:AZ18)</f>
        <v>240</v>
      </c>
      <c r="BA19" s="134">
        <f>SUBTOTAL(9,BA9:BA18)</f>
        <v>170</v>
      </c>
      <c r="BB19" s="134">
        <f>SUBTOTAL(9,BB9:BB18)</f>
        <v>529</v>
      </c>
      <c r="BC19" s="135">
        <f>SUBTOTAL(9,BC9:BC18)</f>
        <v>40</v>
      </c>
      <c r="BD19" s="212">
        <f>IF(ISNUMBER(BA19/AZ19),BA19/AZ19," - ")</f>
        <v>0.70833333333333337</v>
      </c>
      <c r="BE19" s="209">
        <f>IF(ISNUMBER(BB19/BA19),BB19/BA19, " - ")</f>
        <v>3.111764705882353</v>
      </c>
      <c r="BF19" s="209">
        <f>IF(ISNUMBER(BC19/BA19),BC19/BA19, " - ")</f>
        <v>0.23529411764705882</v>
      </c>
      <c r="BG19" s="135">
        <f>IF(ISNUMBER((AY19+AZ19)/BA19),(AY19+AZ19)/BA19," - ")</f>
        <v>4.1117647058823525</v>
      </c>
      <c r="BH19" s="210">
        <f>SUBTOTAL(9,BH9:BH18)</f>
        <v>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mOrBNf38bWI7/Kpc1mZ7z221GJ6xSdHge3DU9Rd/iKgGqnvk27kk6IHm7OVNIsfCtejrdBH6GBQVgDROZg2hQ==" saltValue="dLwMI/ejQ+bAGe6pvGTvk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xLJQh820g+V0LxR7zY5x8v8Jzu6sap2n6ORubWfrfeEEwRS9zf7tdPR0/kBIevuX3hsN+FkGUHAH5sZZpdQRA==" saltValue="mvBhTIq0PJyWmBq1rOsKL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LOGROSAN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0</v>
      </c>
      <c r="B10" s="506" t="s">
        <v>246</v>
      </c>
      <c r="C10" s="7" t="str">
        <f>Datos!A10</f>
        <v>Jdos. Violencia contra la mujer/Secc Viol. TI.</v>
      </c>
      <c r="D10" s="507"/>
      <c r="E10" s="259">
        <f>IF(ISNUMBER(Datos!AQ10),Datos!AQ10," - ")</f>
        <v>0</v>
      </c>
      <c r="F10" s="224" t="str">
        <f>IF(ISNUMBER(Datos!L10+Datos!K10-Datos!J10),Datos!L10+Datos!K10-Datos!J10," - ")</f>
        <v xml:space="preserve"> - </v>
      </c>
      <c r="G10" s="332" t="str">
        <f>IF(ISNUMBER(Datos!I10),Datos!I10," - ")</f>
        <v xml:space="preserve"> - </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t="str">
        <f>IF(ISNUMBER(Datos!K10),Datos!K10," - ")</f>
        <v xml:space="preserve"> - </v>
      </c>
      <c r="AC10" s="225" t="str">
        <f>IF(ISNUMBER(Datos!Q10),Datos!Q10," - ")</f>
        <v xml:space="preserve"> - </v>
      </c>
      <c r="AD10" s="333"/>
      <c r="AE10" s="483"/>
      <c r="AF10" s="331" t="str">
        <f>IF(ISNUMBER(Datos!L10),Datos!L10,"-")</f>
        <v>-</v>
      </c>
      <c r="AG10" s="333"/>
      <c r="AH10" s="333"/>
      <c r="AI10" s="333"/>
      <c r="AJ10" s="333"/>
      <c r="AK10" s="333"/>
      <c r="AL10" s="478"/>
      <c r="AM10" s="334" t="str">
        <f>IF(ISNUMBER(Datos!R10),Datos!R10," - ")</f>
        <v xml:space="preserve"> - </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t="str">
        <f>IF(ISNUMBER(Datos!M10),Datos!M10," - ")</f>
        <v xml:space="preserve"> - </v>
      </c>
      <c r="BD10" s="228" t="str">
        <f>IF(ISNUMBER(Datos!N10),Datos!N10," - ")</f>
        <v xml:space="preserve"> - </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v>
      </c>
      <c r="O12" s="333"/>
      <c r="P12" s="333"/>
      <c r="Q12" s="225">
        <f>IF(ISNUMBER(Datos!P12),Datos!P12,0)</f>
        <v>31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v>
      </c>
      <c r="AI12" s="333" t="str">
        <f>IF(ISNUMBER(Datos!CD12),Datos!CD12,"-")</f>
        <v>-</v>
      </c>
      <c r="AJ12" s="333" t="str">
        <f>IF(ISNUMBER(Datos!EN12),Datos!EN12," - ")</f>
        <v xml:space="preserve"> - </v>
      </c>
      <c r="AK12" s="333"/>
      <c r="AL12" s="478"/>
      <c r="AM12" s="334">
        <f>IF(ISNUMBER(Datos!R12),Datos!R12," - ")</f>
        <v>412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29</v>
      </c>
      <c r="BD12" s="228">
        <f>IF(ISNUMBER(Datos!N12),Datos!N12," - ")</f>
        <v>11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0.88888888888888884</v>
      </c>
      <c r="BH12" s="259">
        <f>IF(ISNUMBER(((IF(J_V="SI",Datos!L12/Datos!K12,(Datos!L12+Datos!AB12)/(Datos!K12+Datos!AA12)))*11)/factor_trimestre),((IF(J_V="SI",Datos!L12/Datos!K12,(Datos!L12+Datos!AB12)/(Datos!K12+Datos!AA12)))*11)/factor_trimestre," - ")</f>
        <v>7.90625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2.4875621890547265E-2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5</v>
      </c>
      <c r="O13" s="899">
        <f t="shared" si="0"/>
        <v>0</v>
      </c>
      <c r="P13" s="899">
        <f t="shared" si="0"/>
        <v>0</v>
      </c>
      <c r="Q13" s="898">
        <f t="shared" si="0"/>
        <v>31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21</v>
      </c>
      <c r="AD13" s="898">
        <f t="shared" si="1"/>
        <v>0</v>
      </c>
      <c r="AE13" s="898">
        <f t="shared" si="1"/>
        <v>0</v>
      </c>
      <c r="AF13" s="898">
        <f t="shared" si="1"/>
        <v>0</v>
      </c>
      <c r="AG13" s="898">
        <f t="shared" si="1"/>
        <v>0</v>
      </c>
      <c r="AH13" s="898">
        <f t="shared" si="1"/>
        <v>3</v>
      </c>
      <c r="AI13" s="898">
        <f t="shared" si="1"/>
        <v>0</v>
      </c>
      <c r="AJ13" s="898">
        <f t="shared" si="1"/>
        <v>0</v>
      </c>
      <c r="AK13" s="898">
        <f t="shared" si="1"/>
        <v>0</v>
      </c>
      <c r="AL13" s="898">
        <f t="shared" si="1"/>
        <v>0</v>
      </c>
      <c r="AM13" s="898">
        <f t="shared" si="1"/>
        <v>412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29</v>
      </c>
      <c r="BD13" s="898">
        <f t="shared" si="1"/>
        <v>11</v>
      </c>
      <c r="BE13" s="898">
        <f t="shared" si="1"/>
        <v>0</v>
      </c>
      <c r="BF13" s="898">
        <f t="shared" si="1"/>
        <v>0</v>
      </c>
      <c r="BG13" s="898">
        <f>IF(ISNUMBER(Datos!K13/Datos!J13),Datos!K13/Datos!J13," - ")</f>
        <v>0.91044776119402981</v>
      </c>
      <c r="BH13" s="902">
        <f>IF(ISNUMBER(((Datos!L13/Datos!K13)*11)/factor_trimestre),((Datos!L13/Datos!K13)*11)/factor_trimestre," - ")</f>
        <v>8.1967213114754092</v>
      </c>
      <c r="BI13" s="898">
        <f>IF(ISNUMBER('Resol  Asuntos'!D13/NºAsuntos!G13),'Resol  Asuntos'!D13/NºAsuntos!G13," - ")</f>
        <v>0.453125</v>
      </c>
      <c r="BJ13" s="898" t="str">
        <f>IF(ISNUMBER(Datos!CI13/Datos!CJ13),Datos!CI13/Datos!CJ13," - ")</f>
        <v xml:space="preserve"> - </v>
      </c>
      <c r="BK13" s="898">
        <f>SUBTOTAL(9,BK8:BK12)</f>
        <v>0</v>
      </c>
      <c r="BL13" s="898" t="str">
        <f>IF(ISNUMBER((I13-AB13+L13)/(F13)),(I13-AB13+L13)/(F13)," - ")</f>
        <v xml:space="preserve"> - </v>
      </c>
      <c r="BM13" s="903">
        <f>SUBTOTAL(9,BM9:BM12)</f>
        <v>2.4875621890547265E-2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125</v>
      </c>
      <c r="G16" s="597">
        <f>IF(ISNUMBER(IF(D_I="SI",Datos!I16,Datos!I16+Datos!AC16)),IF(D_I="SI",Datos!I16,Datos!I16+Datos!AC16)," - ")</f>
        <v>125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120</v>
      </c>
      <c r="AC16" s="225">
        <f>IF(ISNUMBER(Datos!Q16),Datos!Q16," - ")</f>
        <v>2</v>
      </c>
      <c r="AD16" s="333"/>
      <c r="AE16" s="483"/>
      <c r="AF16" s="595">
        <f>IF(ISNUMBER(IF(D_I="SI",Datos!L16,Datos!L16+Datos!AF16)),IF(D_I="SI",Datos!L16,Datos!L16+Datos!AF16)," - ")</f>
        <v>116</v>
      </c>
      <c r="AG16" s="333"/>
      <c r="AH16" s="333"/>
      <c r="AI16" s="333"/>
      <c r="AJ16" s="333"/>
      <c r="AK16" s="333"/>
      <c r="AL16" s="478"/>
      <c r="AM16" s="334">
        <f>IF(ISNUMBER(Datos!R16),Datos!R16," - ")</f>
        <v>22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v>
      </c>
      <c r="BD16" s="228">
        <f>IF(ISNUMBER(Datos!N16),Datos!N16," - ")</f>
        <v>91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1.0810810810810811</v>
      </c>
      <c r="BH16" s="259">
        <f>IF(ISNUMBER(((IF(D_I="SI",Datos!L16/Datos!K16,(Datos!L16+Datos!AF16)/(Datos!K16+Datos!AE16)))*11)/factor_trimestre),((IF(D_I="SI",Datos!L16/Datos!K16,(Datos!L16+Datos!AF16)/(Datos!K16+Datos!AE16)))*11)/factor_trimestre," - ")</f>
        <v>1.9333333333333333</v>
      </c>
      <c r="BI16" s="242">
        <f>IF(ISNUMBER('Resol  Asuntos'!D16/NºAsuntos!G16),'Resol  Asuntos'!D16/NºAsuntos!G16," - ")</f>
        <v>0.05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0</v>
      </c>
      <c r="B17" s="506" t="s">
        <v>396</v>
      </c>
      <c r="C17" s="7" t="str">
        <f>Datos!A17</f>
        <v>Jdos. Violencia contra la mujer/Secc Viol. TI.</v>
      </c>
      <c r="D17" s="507"/>
      <c r="E17" s="1024">
        <f>IF(ISNUMBER(Datos!AQ17),Datos!AQ17," - ")</f>
        <v>0</v>
      </c>
      <c r="F17" s="224" t="str">
        <f>IF(ISNUMBER(AF17+AB17-I17-L17),AF17+AB17-I17-L17," - ")</f>
        <v xml:space="preserve"> - </v>
      </c>
      <c r="G17" s="332" t="str">
        <f>IF(ISNUMBER(IF(D_I="SI",Datos!I17,Datos!I17+Datos!AC17)),IF(D_I="SI",Datos!I17,Datos!I17+Datos!AC17)," - ")</f>
        <v xml:space="preserve"> - </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t="str">
        <f>IF(ISNUMBER(IF(D_I="SI",Datos!K17,Datos!K17+Datos!AE17)),IF(D_I="SI",Datos!K17,Datos!K17+Datos!AE17)," - ")</f>
        <v xml:space="preserve"> - </v>
      </c>
      <c r="AC17" s="225" t="str">
        <f>IF(ISNUMBER(Datos!Q17),Datos!Q17," - ")</f>
        <v xml:space="preserve"> - </v>
      </c>
      <c r="AD17" s="333"/>
      <c r="AE17" s="483"/>
      <c r="AF17" s="331" t="str">
        <f>IF(ISNUMBER(Datos!L17),Datos!L17,"-")</f>
        <v>-</v>
      </c>
      <c r="AG17" s="333"/>
      <c r="AH17" s="333"/>
      <c r="AI17" s="333"/>
      <c r="AJ17" s="333"/>
      <c r="AK17" s="333"/>
      <c r="AL17" s="478"/>
      <c r="AM17" s="334" t="str">
        <f>IF(ISNUMBER(Datos!R17),Datos!R17," - ")</f>
        <v xml:space="preserve"> - </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t="str">
        <f>IF(ISNUMBER(Datos!M17),Datos!M17," - ")</f>
        <v xml:space="preserve"> - </v>
      </c>
      <c r="BD17" s="228" t="str">
        <f>IF(ISNUMBER(Datos!N17),Datos!N17," - ")</f>
        <v xml:space="preserve"> - </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125</v>
      </c>
      <c r="G18" s="897">
        <f>SUBTOTAL(9,G15:G17)</f>
        <v>125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120</v>
      </c>
      <c r="AC18" s="898">
        <f t="shared" si="4"/>
        <v>2</v>
      </c>
      <c r="AD18" s="898">
        <f t="shared" si="4"/>
        <v>0</v>
      </c>
      <c r="AE18" s="898">
        <f t="shared" si="4"/>
        <v>0</v>
      </c>
      <c r="AF18" s="898">
        <f t="shared" si="4"/>
        <v>116</v>
      </c>
      <c r="AG18" s="898">
        <f t="shared" si="4"/>
        <v>0</v>
      </c>
      <c r="AH18" s="898">
        <f t="shared" si="4"/>
        <v>0</v>
      </c>
      <c r="AI18" s="898">
        <f t="shared" si="4"/>
        <v>0</v>
      </c>
      <c r="AJ18" s="898">
        <f t="shared" si="4"/>
        <v>0</v>
      </c>
      <c r="AK18" s="898">
        <f t="shared" si="4"/>
        <v>0</v>
      </c>
      <c r="AL18" s="898">
        <f t="shared" si="4"/>
        <v>0</v>
      </c>
      <c r="AM18" s="898">
        <f t="shared" si="4"/>
        <v>22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v>
      </c>
      <c r="BD18" s="898">
        <f t="shared" si="4"/>
        <v>91</v>
      </c>
      <c r="BE18" s="898">
        <f t="shared" si="4"/>
        <v>0</v>
      </c>
      <c r="BF18" s="898">
        <f t="shared" si="4"/>
        <v>0</v>
      </c>
      <c r="BG18" s="898">
        <f>IF(ISNUMBER(Datos!K18/Datos!J18),Datos!K18/Datos!J18," - ")</f>
        <v>1.0810810810810811</v>
      </c>
      <c r="BH18" s="902">
        <f>IF(ISNUMBER(((Datos!L18/Datos!K18)*11)/factor_trimestre),((Datos!L18/Datos!K18)*11)/factor_trimestre," - ")</f>
        <v>1.9333333333333333</v>
      </c>
      <c r="BI18" s="898">
        <f>SUBTOTAL(9,BI15:BI17)</f>
        <v>0.05</v>
      </c>
      <c r="BJ18" s="898">
        <f>SUBTOTAL(9,BJ15:BJ17)</f>
        <v>0</v>
      </c>
      <c r="BK18" s="898">
        <f>SUBTOTAL(9,BK15:BK17)</f>
        <v>0</v>
      </c>
      <c r="BL18" s="898">
        <f>IF(ISNUMBER((I18-AB18+L18)/(F18)),(I18-AB18+L18)/(F18)," - ")</f>
        <v>-0.96</v>
      </c>
      <c r="BM18" s="904">
        <f>IF(ISNUMBER((Datos!P18-Datos!Q18)/(Datos!R18-Datos!P18+Datos!Q18)),(Datos!P18-Datos!Q18)/(Datos!R18-Datos!P18+Datos!Q18)," - ")</f>
        <v>-8.3333333333333329E-2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125</v>
      </c>
      <c r="G19" s="819">
        <f t="shared" si="6"/>
        <v>125</v>
      </c>
      <c r="H19" s="821">
        <f t="shared" si="6"/>
        <v>0</v>
      </c>
      <c r="I19" s="819">
        <f t="shared" si="6"/>
        <v>0</v>
      </c>
      <c r="J19" s="821">
        <f t="shared" si="6"/>
        <v>0</v>
      </c>
      <c r="K19" s="821">
        <f t="shared" si="6"/>
        <v>0</v>
      </c>
      <c r="L19" s="880">
        <f t="shared" si="6"/>
        <v>0</v>
      </c>
      <c r="M19" s="880">
        <f t="shared" si="6"/>
        <v>0</v>
      </c>
      <c r="N19" s="880">
        <f t="shared" si="6"/>
        <v>5</v>
      </c>
      <c r="O19" s="880">
        <f t="shared" si="6"/>
        <v>0</v>
      </c>
      <c r="P19" s="880">
        <f t="shared" si="6"/>
        <v>0</v>
      </c>
      <c r="Q19" s="821">
        <f t="shared" si="6"/>
        <v>31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120</v>
      </c>
      <c r="AC19" s="820">
        <f t="shared" si="7"/>
        <v>23</v>
      </c>
      <c r="AD19" s="820">
        <f t="shared" si="7"/>
        <v>0</v>
      </c>
      <c r="AE19" s="820">
        <f t="shared" si="7"/>
        <v>0</v>
      </c>
      <c r="AF19" s="827">
        <f t="shared" si="7"/>
        <v>116</v>
      </c>
      <c r="AG19" s="827">
        <f t="shared" si="7"/>
        <v>0</v>
      </c>
      <c r="AH19" s="827">
        <f t="shared" si="7"/>
        <v>3</v>
      </c>
      <c r="AI19" s="827">
        <f t="shared" si="7"/>
        <v>0</v>
      </c>
      <c r="AJ19" s="820">
        <f t="shared" si="7"/>
        <v>0</v>
      </c>
      <c r="AK19" s="827">
        <f t="shared" si="7"/>
        <v>0</v>
      </c>
      <c r="AL19" s="827">
        <f t="shared" si="7"/>
        <v>0</v>
      </c>
      <c r="AM19" s="827">
        <f t="shared" si="7"/>
        <v>434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35</v>
      </c>
      <c r="BD19" s="819">
        <f t="shared" si="7"/>
        <v>102</v>
      </c>
      <c r="BE19" s="819">
        <f t="shared" si="7"/>
        <v>0</v>
      </c>
      <c r="BF19" s="829">
        <f t="shared" si="7"/>
        <v>0</v>
      </c>
      <c r="BG19" s="914">
        <f>IF(ISNUMBER(Datos!K19/Datos!J19),Datos!K19/Datos!J19," - ")</f>
        <v>1.0168539325842696</v>
      </c>
      <c r="BH19" s="914">
        <f>IF(ISNUMBER(((Datos!L19/Datos!K19)*11)/factor_trimestre),((Datos!L19/Datos!K19)*11)/factor_trimestre," - ")</f>
        <v>4.0441988950276242</v>
      </c>
      <c r="BI19" s="812">
        <f>IF(ISNUMBER(Datos!J19/Datos!I19),Datos!J19/Datos!I19," - ")</f>
        <v>0.42482100238663484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-0.96</v>
      </c>
      <c r="BM19" s="888">
        <f>IF(ISNUMBER((Datos!P19-Datos!Q19+R19)/(Datos!R19-Datos!P19+Datos!Q19-R19)),(Datos!P19-Datos!Q19+R19)/(Datos!R19-Datos!P19+Datos!Q19-R19)," - ")</f>
        <v>1.8779342723004695E-2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83.333333333333329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72.168783648703226</v>
      </c>
      <c r="G21" s="551">
        <f>IF(ISNUMBER(STDEV(G8:G18)),STDEV(G8:G18),"-")</f>
        <v>72.168783648703226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69.282032302755098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13.279056191361393</v>
      </c>
      <c r="BD21" s="550"/>
      <c r="BE21" s="550">
        <f>IF(ISNUMBER(STDEV(BE8:BE18)),STDEV(BE8:BE18),"-")</f>
        <v>0</v>
      </c>
      <c r="BF21" s="555">
        <f>IF(ISNUMBER(STDEV(BF8:BF18)),STDEV(BF8:BF18),"-")</f>
        <v>0</v>
      </c>
      <c r="BG21" s="774">
        <f>IF(ISNUMBER(STDEV(BG8:BG18)),STDEV(BG8:BG18),"-")</f>
        <v>0.10510785023239388</v>
      </c>
      <c r="BH21" s="775">
        <f>IF(ISNUMBER(STDEV(BH8:BH18)),STDEV(BH8:BH18),"-")</f>
        <v>3.5343068453629001</v>
      </c>
      <c r="BI21" s="248">
        <f>IF(ISNUMBER(STDEV(BI8:BI18)),STDEV(BI8:BI18),"-")</f>
        <v>0.23274432726706787</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tPEQ0XhvJL4XCjpnLyklyeuD16sFC6kokfeSFs8c9ojHdfH4/LhXeXbYWdFN9KD9SDTm3NolmvEElH0IdEX8yQ==" saltValue="DVEvZNvV5Ec5NwIDVSMc3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LOGROSAN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0</v>
      </c>
      <c r="B10" s="506" t="s">
        <v>246</v>
      </c>
      <c r="C10" s="7" t="str">
        <f>Datos!A10</f>
        <v>Jdos. Violencia contra la mujer/Secc Viol. TI.</v>
      </c>
      <c r="D10" s="507"/>
      <c r="E10" s="1167">
        <f>IF(ISNUMBER(Datos!AQ10),Datos!AQ10," - ")</f>
        <v>0</v>
      </c>
      <c r="F10" s="224" t="str">
        <f>IF(ISNUMBER(Datos!L10+Datos!K10-Datos!J10),Datos!L10+Datos!K10-Datos!J10," - ")</f>
        <v xml:space="preserve"> - </v>
      </c>
      <c r="G10" s="224" t="str">
        <f>IF(ISNUMBER(Datos!I10),Datos!I10," - ")</f>
        <v xml:space="preserve"> - </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t="str">
        <f>IF(ISNUMBER(Datos!K10),Datos!K10," - ")</f>
        <v xml:space="preserve"> - </v>
      </c>
      <c r="Z10" s="618" t="str">
        <f>IF(ISNUMBER(Datos!Q10),Datos!Q10," - ")</f>
        <v xml:space="preserve"> - </v>
      </c>
      <c r="AA10" s="331" t="str">
        <f>IF(ISNUMBER(Datos!L10),Datos!L10,"-")</f>
        <v>-</v>
      </c>
      <c r="AB10" s="333"/>
      <c r="AC10" s="333"/>
      <c r="AD10" s="483"/>
      <c r="AE10" s="483" t="str">
        <f>IF(ISNUMBER(Datos!R10),Datos!R10," - ")</f>
        <v xml:space="preserve"> - </v>
      </c>
      <c r="AF10" s="228" t="str">
        <f>IF(ISNUMBER(Datos!BV10),Datos!BV10," - ")</f>
        <v xml:space="preserve"> - </v>
      </c>
      <c r="AG10" s="224" t="str">
        <f>IF(ISNUMBER(Datos!DV10),Datos!DV10," - ")</f>
        <v xml:space="preserve"> - </v>
      </c>
      <c r="AH10" s="297"/>
      <c r="AI10" s="226"/>
      <c r="AJ10" s="224" t="str">
        <f>IF(ISNUMBER(Datos!M10),Datos!M10," - ")</f>
        <v xml:space="preserve"> - </v>
      </c>
      <c r="AK10" s="228" t="str">
        <f>IF(ISNUMBER(Datos!N10),Datos!N10," - ")</f>
        <v xml:space="preserve"> - </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21</v>
      </c>
      <c r="AA12" s="331" t="str">
        <f>IF(ISNUMBER(IF(J_V="SI",Datos!L12,Datos!L12+Datos!AB12)-IF(Monitorios="SI",Datos!CD12,0)),
                          IF(J_V="SI",Datos!L12,Datos!L12+Datos!AB12)-IF(Monitorios="SI",Datos!CD12,0),
                          " - ")</f>
        <v xml:space="preserve"> - </v>
      </c>
      <c r="AB12" s="333"/>
      <c r="AC12" s="333"/>
      <c r="AD12" s="483"/>
      <c r="AE12" s="483">
        <f>IF(ISNUMBER(Datos!R12),Datos!R12," - ")</f>
        <v>412</v>
      </c>
      <c r="AF12" s="228" t="str">
        <f>IF(ISNUMBER(Datos!BV12),Datos!BV12," - ")</f>
        <v xml:space="preserve"> - </v>
      </c>
      <c r="AG12" s="224" t="str">
        <f>IF(ISNUMBER(Datos!DV12),Datos!DV12," - ")</f>
        <v xml:space="preserve"> - </v>
      </c>
      <c r="AH12" s="297"/>
      <c r="AI12" s="226"/>
      <c r="AJ12" s="224">
        <f>IF(ISNUMBER(Datos!M12),Datos!M12," - ")</f>
        <v>29</v>
      </c>
      <c r="AK12" s="228">
        <f>IF(ISNUMBER(Datos!N12),Datos!N12," - ")</f>
        <v>11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7.90625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2.4875621890547265E-2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31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21</v>
      </c>
      <c r="AA13" s="899">
        <f t="shared" si="2"/>
        <v>0</v>
      </c>
      <c r="AB13" s="899">
        <f t="shared" si="2"/>
        <v>0</v>
      </c>
      <c r="AC13" s="899">
        <f t="shared" si="2"/>
        <v>0</v>
      </c>
      <c r="AD13" s="899">
        <f t="shared" si="2"/>
        <v>0</v>
      </c>
      <c r="AE13" s="899">
        <f t="shared" si="2"/>
        <v>412</v>
      </c>
      <c r="AF13" s="907">
        <f t="shared" si="2"/>
        <v>0</v>
      </c>
      <c r="AG13" s="907">
        <f t="shared" si="2"/>
        <v>0</v>
      </c>
      <c r="AH13" s="907">
        <f t="shared" si="2"/>
        <v>0</v>
      </c>
      <c r="AI13" s="907">
        <f t="shared" si="2"/>
        <v>0</v>
      </c>
      <c r="AJ13" s="907">
        <f t="shared" si="2"/>
        <v>29</v>
      </c>
      <c r="AK13" s="907">
        <f t="shared" si="2"/>
        <v>11</v>
      </c>
      <c r="AL13" s="907">
        <f t="shared" si="2"/>
        <v>0</v>
      </c>
      <c r="AM13" s="907">
        <f t="shared" si="2"/>
        <v>0</v>
      </c>
      <c r="AN13" s="907">
        <f t="shared" si="2"/>
        <v>0</v>
      </c>
      <c r="AO13" s="903">
        <f>IF(ISNUMBER(((NºAsuntos!I13/NºAsuntos!G13)*11)/factor_trimestre),((NºAsuntos!I13/NºAsuntos!G13)*11)/factor_trimestre," - ")</f>
        <v>7.90625</v>
      </c>
      <c r="AP13" s="909" t="str">
        <f>IF(ISNUMBER(Datos!CI13/Datos!CJ13),Datos!CI13/Datos!CJ13," - ")</f>
        <v xml:space="preserve"> - </v>
      </c>
      <c r="AQ13" s="927">
        <f t="shared" ref="AQ13:AV13" si="3">SUBTOTAL(9,AQ9:AQ12)</f>
        <v>0</v>
      </c>
      <c r="AR13" s="927">
        <f t="shared" si="3"/>
        <v>2.4875621890547265E-2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125</v>
      </c>
      <c r="G16" s="224">
        <f>IF(ISNUMBER(IF(D_I="SI",Datos!I16,Datos!I16+Datos!AC16)),IF(D_I="SI",Datos!I16,Datos!I16+Datos!AC16)," - ")</f>
        <v>125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120</v>
      </c>
      <c r="Z16" s="618">
        <f>IF(ISNUMBER(Datos!Q16),Datos!Q16," - ")</f>
        <v>2</v>
      </c>
      <c r="AA16" s="331">
        <f>IF(ISNUMBER(IF(D_I="SI",Datos!L16,Datos!L16+Datos!AF16)),IF(D_I="SI",Datos!L16,Datos!L16+Datos!AF16)," - ")</f>
        <v>116</v>
      </c>
      <c r="AB16" s="333"/>
      <c r="AC16" s="333"/>
      <c r="AD16" s="483"/>
      <c r="AE16" s="483">
        <f>IF(ISNUMBER(Datos!R16),Datos!R16," - ")</f>
        <v>22</v>
      </c>
      <c r="AF16" s="228" t="str">
        <f>IF(ISNUMBER(Datos!BV16),Datos!BV16," - ")</f>
        <v xml:space="preserve"> - </v>
      </c>
      <c r="AG16" s="224"/>
      <c r="AH16" s="297"/>
      <c r="AI16" s="226"/>
      <c r="AJ16" s="224">
        <f>IF(ISNUMBER(Datos!M16),Datos!M16," - ")</f>
        <v>6</v>
      </c>
      <c r="AK16" s="228">
        <f>IF(ISNUMBER(Datos!N16),Datos!N16," - ")</f>
        <v>91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1.9333333333333333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0</v>
      </c>
      <c r="B17" s="506" t="s">
        <v>396</v>
      </c>
      <c r="C17" s="7" t="str">
        <f>Datos!A17</f>
        <v>Jdos. Violencia contra la mujer/Secc Viol. TI.</v>
      </c>
      <c r="D17" s="507"/>
      <c r="E17" s="1167">
        <f>IF(ISNUMBER(Datos!AQ17),Datos!AQ17," - ")</f>
        <v>0</v>
      </c>
      <c r="F17" s="224" t="str">
        <f>IF(ISNUMBER(AA17+Y17-I17-K17),AA17+Y17-I17-K17," - ")</f>
        <v xml:space="preserve"> - </v>
      </c>
      <c r="G17" s="522" t="str">
        <f>IF(ISNUMBER(IF(D_I="SI",Datos!I17,Datos!I17+Datos!AC17)),IF(D_I="SI",Datos!I17,Datos!I17+Datos!AC17)," - ")</f>
        <v xml:space="preserve"> - </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t="str">
        <f>IF(ISNUMBER(IF(D_I="SI",Datos!K17,Datos!K17+Datos!AE17)),IF(D_I="SI",Datos!K17,Datos!K17+Datos!AE17)," - ")</f>
        <v xml:space="preserve"> - </v>
      </c>
      <c r="Z17" s="618" t="str">
        <f>IF(ISNUMBER(Datos!Q17),Datos!Q17," - ")</f>
        <v xml:space="preserve"> - </v>
      </c>
      <c r="AA17" s="331" t="str">
        <f>IF(ISNUMBER(Datos!L17),Datos!L17,"-")</f>
        <v>-</v>
      </c>
      <c r="AB17" s="333"/>
      <c r="AC17" s="333"/>
      <c r="AD17" s="483"/>
      <c r="AE17" s="483" t="str">
        <f>IF(ISNUMBER(Datos!R17),Datos!R17," - ")</f>
        <v xml:space="preserve"> - </v>
      </c>
      <c r="AF17" s="228" t="str">
        <f>IF(ISNUMBER(Datos!BV17),Datos!BV17," - ")</f>
        <v xml:space="preserve"> - </v>
      </c>
      <c r="AG17" s="224" t="str">
        <f>IF(ISNUMBER(Datos!DV17),Datos!DV17," - ")</f>
        <v xml:space="preserve"> - </v>
      </c>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125</v>
      </c>
      <c r="G18" s="897">
        <f>SUBTOTAL(9,G15:G17)</f>
        <v>125</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120</v>
      </c>
      <c r="Z18" s="931">
        <f t="shared" si="5"/>
        <v>2</v>
      </c>
      <c r="AA18" s="931">
        <f t="shared" si="5"/>
        <v>116</v>
      </c>
      <c r="AB18" s="931">
        <f t="shared" si="5"/>
        <v>0</v>
      </c>
      <c r="AC18" s="931">
        <f t="shared" si="5"/>
        <v>0</v>
      </c>
      <c r="AD18" s="931">
        <f t="shared" si="5"/>
        <v>0</v>
      </c>
      <c r="AE18" s="931">
        <f t="shared" si="5"/>
        <v>22</v>
      </c>
      <c r="AF18" s="931">
        <f t="shared" si="5"/>
        <v>0</v>
      </c>
      <c r="AG18" s="931">
        <f t="shared" si="5"/>
        <v>0</v>
      </c>
      <c r="AH18" s="931">
        <f t="shared" si="5"/>
        <v>0</v>
      </c>
      <c r="AI18" s="931">
        <f t="shared" si="5"/>
        <v>0</v>
      </c>
      <c r="AJ18" s="931">
        <f t="shared" si="5"/>
        <v>6</v>
      </c>
      <c r="AK18" s="931">
        <f t="shared" si="5"/>
        <v>91</v>
      </c>
      <c r="AL18" s="931">
        <f t="shared" si="5"/>
        <v>0</v>
      </c>
      <c r="AM18" s="931">
        <f t="shared" si="5"/>
        <v>0</v>
      </c>
      <c r="AN18" s="931">
        <f t="shared" si="5"/>
        <v>0</v>
      </c>
      <c r="AO18" s="933">
        <f>IF(ISNUMBER(((NºAsuntos!I18/NºAsuntos!G18)*11)/factor_trimestre),((NºAsuntos!I18/NºAsuntos!G18)*11)/factor_trimestre," - ")</f>
        <v>1.9333333333333333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125</v>
      </c>
      <c r="G19" s="819">
        <f t="shared" si="7"/>
        <v>125</v>
      </c>
      <c r="H19" s="820">
        <f t="shared" si="7"/>
        <v>0</v>
      </c>
      <c r="I19" s="819">
        <f t="shared" si="7"/>
        <v>0</v>
      </c>
      <c r="J19" s="821">
        <f t="shared" si="7"/>
        <v>0</v>
      </c>
      <c r="K19" s="819">
        <f t="shared" si="7"/>
        <v>0</v>
      </c>
      <c r="L19" s="822">
        <f t="shared" si="7"/>
        <v>0</v>
      </c>
      <c r="M19" s="819">
        <f t="shared" si="7"/>
        <v>0</v>
      </c>
      <c r="N19" s="820">
        <f t="shared" si="7"/>
        <v>31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120</v>
      </c>
      <c r="Z19" s="826">
        <f t="shared" si="8"/>
        <v>23</v>
      </c>
      <c r="AA19" s="827">
        <f t="shared" si="8"/>
        <v>116</v>
      </c>
      <c r="AB19" s="827">
        <f t="shared" si="8"/>
        <v>0</v>
      </c>
      <c r="AC19" s="827">
        <f t="shared" si="8"/>
        <v>0</v>
      </c>
      <c r="AD19" s="828">
        <f t="shared" si="8"/>
        <v>0</v>
      </c>
      <c r="AE19" s="828">
        <f t="shared" si="8"/>
        <v>434</v>
      </c>
      <c r="AF19" s="829">
        <f t="shared" si="8"/>
        <v>0</v>
      </c>
      <c r="AG19" s="830">
        <f t="shared" si="8"/>
        <v>0</v>
      </c>
      <c r="AH19" s="831">
        <f t="shared" si="8"/>
        <v>0</v>
      </c>
      <c r="AI19" s="829">
        <f t="shared" si="8"/>
        <v>0</v>
      </c>
      <c r="AJ19" s="819">
        <f t="shared" si="8"/>
        <v>35</v>
      </c>
      <c r="AK19" s="819">
        <f t="shared" si="8"/>
        <v>102</v>
      </c>
      <c r="AL19" s="819">
        <f t="shared" si="8"/>
        <v>0</v>
      </c>
      <c r="AM19" s="832">
        <f t="shared" si="8"/>
        <v>0</v>
      </c>
      <c r="AN19" s="822">
        <f>IF(ISNUMBER(Datos!K19/Datos!J19),Datos!K19/Datos!J19," - ")</f>
        <v>1.0168539325842696</v>
      </c>
      <c r="AO19" s="822">
        <f>IF(ISNUMBER(FIND("06",Criterios!A8,1)),(IF(ISNUMBER(((Datos!R19/Datos!Q19)*11)/factor_trimestre),((Datos!R19/Datos!Q19)*11)/factor_trimestre," - ")),(IF(ISNUMBER(((Datos!L19/Datos!K19)*11)/factor_trimestre),((Datos!L19/Datos!K19)*11)/factor_trimestre," - ")))</f>
        <v>4.0441988950276242</v>
      </c>
      <c r="AP19" s="833" t="str">
        <f>IF(ISNUMBER(Datos!CI19/Datos!CJ19),Datos!CI19/Datos!CJ19," - ")</f>
        <v xml:space="preserve"> - </v>
      </c>
      <c r="AQ19" s="833">
        <f>IF(OR(ISNUMBER(FIND("01",Criterios!A8,1)),ISNUMBER(FIND("02",Criterios!A8,1)),ISNUMBER(FIND("03",Criterios!A8,1)),ISNUMBER(FIND("04",Criterios!A8,1))),(J19-Y19+K19)/(F19-K19),(I19-Y19+K19)/(F19-K19))</f>
        <v>-0.96</v>
      </c>
      <c r="AR19" s="833">
        <f>IF(ISNUMBER((Datos!P19-Datos!Q19+O19)/(Datos!R19-Datos!P19+Datos!Q19-O19)),(Datos!P19-Datos!Q19+O19)/(Datos!R19-Datos!P19+Datos!Q19-O19)," - ")</f>
        <v>1.8779342723004695E-2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83.333333333333329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72.168783648703226</v>
      </c>
      <c r="G21" s="551">
        <f>IF(ISNUMBER(STDEV(G8:G18)),STDEV(G8:G18),"-")</f>
        <v>72.168783648703226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13.279056191361393</v>
      </c>
      <c r="AK21" s="251"/>
      <c r="AL21" s="251">
        <f>IF(ISNUMBER(STDEV(AL8:AL18)),STDEV(AL8:AL18),"-")</f>
        <v>0</v>
      </c>
      <c r="AM21" s="253">
        <f>IF(ISNUMBER(STDEV(AM8:AM18)),STDEV(AM8:AM18),"-")</f>
        <v>0</v>
      </c>
      <c r="AN21" s="538">
        <f>IF(ISNUMBER(STDEV(AN8:AN18)),STDEV(AN8:AN18),"-")</f>
        <v>0</v>
      </c>
      <c r="AO21" s="539">
        <f>IF(ISNUMBER(STDEV(AO8:AO18)),STDEV(AO8:AO18),"-")</f>
        <v>3.4484650453472021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cIeHy0QI7vd/Z6b4uZkt1gVbkHIKcWOdhyVireBRPCC26cW83TGqD6kfJS6ygI2gzt0KVHMJpEz8POTWqpwaeA==" saltValue="8e2Jffbac+Bbon+OD1UW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wCjTNjIHkaKKjMVLodfw7M4U8I36g4mmMqAZzTH1naLdeYXp+tt+kKNsIV2DpzdvAeMamuIpOoh+ULhCztpg==" saltValue="bAoAcNAadCBLrxD8FCtR2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zAWmqbIdLd9eS1550VLRQ1PdfmvtJkGmFXy+Ib0krWUobS+9X06GctHmQcXmb84kcfcalnw108t1kbhlQh2aQ==" saltValue="xSibf21LsCgBdUibKQSie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LOGROSAN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0.453125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0.32040776022515433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vQWCUGCFFJSh7Lw3Cpu+UOkpDfN/wZ7Gh9tNKV4eqo+pNZc0yethGLEq4TBLqFHPkrJxeBqXcbMNzR6dEgV2bA==" saltValue="tpHHewDP971ZW54pZ5H65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HmUK5kK1mMD90CM7pv0lJPuIumioz0QHkGcyEvopPiPyWJ1hhRgh+TKgLLUUtm9pPX5gqLWZ1UnC5jQ5qEPQ==" saltValue="euCrrzjM4oiRQ0TSHeZt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LOGROSAN</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0</v>
      </c>
      <c r="C10" s="402" t="str">
        <f>IF(ISNUMBER(Datos!I10),Datos!I10," - ")</f>
        <v xml:space="preserve"> - </v>
      </c>
      <c r="D10" s="403" t="str">
        <f>IF(ISNUMBER(C10/Datos!BH10),C10/Datos!BH10," - ")</f>
        <v xml:space="preserve"> - </v>
      </c>
      <c r="E10" s="402" t="str">
        <f>IF(ISNUMBER(Datos!J10),Datos!J10," - ")</f>
        <v xml:space="preserve"> - </v>
      </c>
      <c r="F10" s="403" t="str">
        <f>IF(ISNUMBER(E10/B10),E10/B10," - ")</f>
        <v xml:space="preserve"> - </v>
      </c>
      <c r="G10" s="402" t="str">
        <f>IF(ISNUMBER(Datos!K10),Datos!K10," - ")</f>
        <v xml:space="preserve"> - </v>
      </c>
      <c r="H10" s="403" t="str">
        <f>IF(ISNUMBER(G10/B10),G10/B10," - ")</f>
        <v xml:space="preserve"> - </v>
      </c>
      <c r="I10" s="402" t="str">
        <f>IF(ISNUMBER(Datos!L10),Datos!L10," - ")</f>
        <v xml:space="preserve"> - </v>
      </c>
      <c r="J10" s="403" t="str">
        <f>IF(ISNUMBER(I10/B10),I10/B10," - ")</f>
        <v xml:space="preserve"> - </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295</v>
      </c>
      <c r="D12" s="403">
        <f>IF(ISNUMBER(C12/Datos!BH12),C12/Datos!BH12," - ")</f>
        <v>295</v>
      </c>
      <c r="E12" s="402">
        <f>IF(ISNUMBER(IF(J_V="SI",Datos!J12,Datos!J12+Datos!Z12)),IF(J_V="SI",Datos!J12,Datos!J12+Datos!Z12)," - ")</f>
        <v>72</v>
      </c>
      <c r="F12" s="403">
        <f>IF(ISNUMBER(E12/B12),E12/B12," - ")</f>
        <v>72</v>
      </c>
      <c r="G12" s="402">
        <f>IF(ISNUMBER(IF(J_V="SI",Datos!K12,Datos!K12+Datos!AA12)),IF(J_V="SI",Datos!K12,Datos!K12+Datos!AA12)," - ")</f>
        <v>64</v>
      </c>
      <c r="H12" s="403">
        <f>IF(ISNUMBER(G12/B12),G12/B12," - ")</f>
        <v>64</v>
      </c>
      <c r="I12" s="402">
        <f>IF(ISNUMBER(IF(J_V="SI",Datos!L12,Datos!L12+Datos!AB12)),IF(J_V="SI",Datos!L12,Datos!L12+Datos!AB12)," - ")</f>
        <v>253</v>
      </c>
      <c r="J12" s="403">
        <f>IF(ISNUMBER(I12/B12),I12/B12," - ")</f>
        <v>253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295</v>
      </c>
      <c r="D13" s="849" t="str">
        <f>IF(ISNUMBER(C13/Datos!BI13),C13/Datos!BI13," - ")</f>
        <v xml:space="preserve"> - </v>
      </c>
      <c r="E13" s="848">
        <f>SUBTOTAL(9,E8:E12)</f>
        <v>72</v>
      </c>
      <c r="F13" s="849">
        <f>IF(ISNUMBER(E13/B13),E13/B13," - ")</f>
        <v>72</v>
      </c>
      <c r="G13" s="848">
        <f>SUBTOTAL(9,G8:G12)</f>
        <v>64</v>
      </c>
      <c r="H13" s="849">
        <f>IF(ISNUMBER(G13/B13),G13/B13," - ")</f>
        <v>64</v>
      </c>
      <c r="I13" s="848">
        <f>SUBTOTAL(9,I8:I12)</f>
        <v>253</v>
      </c>
      <c r="J13" s="849">
        <f>IF(ISNUMBER(I13/B13),I13/B13," - ")</f>
        <v>253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125</v>
      </c>
      <c r="D16" s="403">
        <f>IF(ISNUMBER(C16/Datos!BH16),C16/Datos!BH16," - ")</f>
        <v>125</v>
      </c>
      <c r="E16" s="402">
        <f>IF(ISNUMBER(IF(D_I="SI",Datos!J16,Datos!J16+Datos!AD16)),IF(D_I="SI",Datos!J16,Datos!J16+Datos!AD16)," - ")</f>
        <v>111</v>
      </c>
      <c r="F16" s="403">
        <f>IF(ISNUMBER(E16/B16),E16/B16," - ")</f>
        <v>111</v>
      </c>
      <c r="G16" s="402">
        <f>IF(ISNUMBER(IF(D_I="SI",Datos!K16,Datos!K16+Datos!AE16)),IF(D_I="SI",Datos!K16,Datos!K16+Datos!AE16)," - ")</f>
        <v>120</v>
      </c>
      <c r="H16" s="403">
        <f>IF(ISNUMBER(G16/B16),G16/B16," - ")</f>
        <v>120</v>
      </c>
      <c r="I16" s="402">
        <f>IF(ISNUMBER(IF(D_I="SI",Datos!L16,Datos!L16+Datos!AF16)),IF(D_I="SI",Datos!L16,Datos!L16+Datos!AF16)," - ")</f>
        <v>116</v>
      </c>
      <c r="J16" s="403">
        <f>IF(ISNUMBER(I16/B16),I16/B16," - ")</f>
        <v>116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125</v>
      </c>
      <c r="D18" s="849" t="str">
        <f>IF(ISNUMBER(C18/Datos!BI18),C18/Datos!BI18," - ")</f>
        <v xml:space="preserve"> - </v>
      </c>
      <c r="E18" s="848">
        <f>SUBTOTAL(9,E14:E17)</f>
        <v>111</v>
      </c>
      <c r="F18" s="849">
        <f>IF(ISNUMBER(E18/B18),E18/B18," - ")</f>
        <v>111</v>
      </c>
      <c r="G18" s="848">
        <f>SUBTOTAL(9,G14:G17)</f>
        <v>120</v>
      </c>
      <c r="H18" s="849">
        <f>IF(ISNUMBER(G18/B18),G18/B18," - ")</f>
        <v>120</v>
      </c>
      <c r="I18" s="848">
        <f>SUBTOTAL(9,I14:I17)</f>
        <v>116</v>
      </c>
      <c r="J18" s="849">
        <f>IF(ISNUMBER(I18/B18),I18/B18," - ")</f>
        <v>116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420</v>
      </c>
      <c r="D19" s="794" t="str">
        <f>IF(ISNUMBER(C19/Datos!BI19),C19/Datos!BI19," - ")</f>
        <v xml:space="preserve"> - </v>
      </c>
      <c r="E19" s="793">
        <f>SUBTOTAL(9,E9:E18)</f>
        <v>183</v>
      </c>
      <c r="F19" s="794">
        <f>IF(ISNUMBER(E19/B19),E19/B19," - ")</f>
        <v>183</v>
      </c>
      <c r="G19" s="793">
        <f>SUBTOTAL(9,G9:G18)</f>
        <v>184</v>
      </c>
      <c r="H19" s="794">
        <f>IF(ISNUMBER(G19/B19),G19/B19," - ")</f>
        <v>184</v>
      </c>
      <c r="I19" s="793">
        <f>SUBTOTAL(9,I9:I18)</f>
        <v>369</v>
      </c>
      <c r="J19" s="794">
        <f>IF(ISNUMBER(I19/B19),I19/B19," - ")</f>
        <v>369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qmJBVL9jU9jJuPVngrHzcSPayiip6/+jwHst8buUm8kY1xa8dL2Z9wvVWxZZwNsUURbzPcZYLRqOlAzEVkmv7A==" saltValue="RObmS2om3S7Q+9dFdAWa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LOGROSAN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0</v>
      </c>
      <c r="B10" s="506" t="s">
        <v>246</v>
      </c>
      <c r="C10" s="7" t="str">
        <f>Datos!A10</f>
        <v>Jdos. Violencia contra la mujer/Secc Viol. TI.</v>
      </c>
      <c r="D10" s="507"/>
      <c r="E10" s="681">
        <f>IF(ISNUMBER(Datos!AQ10),Datos!AQ10," - ")</f>
        <v>0</v>
      </c>
      <c r="F10" s="682" t="str">
        <f>IF(ISNUMBER(Datos!L10+Datos!K10-Datos!J10),Datos!L10+Datos!K10-Datos!J10," - ")</f>
        <v xml:space="preserve"> - </v>
      </c>
      <c r="G10" s="683" t="str">
        <f>IF(ISNUMBER(Datos!I10),Datos!I10," - ")</f>
        <v xml:space="preserve"> - </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t="str">
        <f>IF(ISNUMBER(Datos!K10),Datos!K10," - ")</f>
        <v xml:space="preserve"> - </v>
      </c>
      <c r="AC10" s="682" t="str">
        <f>IF(ISNUMBER(IF(D_I="SI",DatosP!K17,DatosP!K17+DatosP!AE17)),IF(D_I="SI",DatosP!K17,DatosP!K17+DatosP!AE17)," - ")</f>
        <v xml:space="preserve"> - </v>
      </c>
      <c r="AD10" s="684"/>
      <c r="AE10" s="684"/>
      <c r="AF10" s="687" t="str">
        <f>IF(ISNUMBER(Datos!L10),Datos!L10,"-")</f>
        <v>-</v>
      </c>
      <c r="AG10" s="687" t="str">
        <f>IF(ISNUMBER(DatosP!L17),DatosP!L17,"-")</f>
        <v>-</v>
      </c>
      <c r="AH10" s="688"/>
      <c r="AI10" s="688"/>
      <c r="AJ10" s="681">
        <f>IF(ISNUMBER(Datos!BV10+DatosP!BV17),Datos!BV10+DatosP!BV17," - ")</f>
        <v>0</v>
      </c>
      <c r="AK10" s="671">
        <f>IF(ISNUMBER(Datos!DV10+DatosP!DV17),Datos!DV10+DatosP!DV17," - ")</f>
        <v>0</v>
      </c>
      <c r="AL10" s="682" t="str">
        <f>IF(ISNUMBER(Datos!M10+DatosP!M17),Datos!M10+DatosP!M17," - ")</f>
        <v xml:space="preserve"> - </v>
      </c>
      <c r="AM10" s="689" t="str">
        <f>IF(ISNUMBER(Datos!N10+DatosP!N17),Datos!N10+DatosP!N17," - ")</f>
        <v xml:space="preserve"> - </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412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29</v>
      </c>
      <c r="AM12" s="689">
        <f>IF(ISNUMBER(Datos!N12+DatosP!N16),Datos!N12+DatosP!N16," - ")</f>
        <v>11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7.90625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2.4875621890547265E-2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31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21</v>
      </c>
      <c r="AE13" s="938">
        <f t="shared" si="1"/>
        <v>0</v>
      </c>
      <c r="AF13" s="938">
        <f t="shared" si="1"/>
        <v>0</v>
      </c>
      <c r="AG13" s="938">
        <f t="shared" si="1"/>
        <v>0</v>
      </c>
      <c r="AH13" s="938">
        <f t="shared" si="1"/>
        <v>412</v>
      </c>
      <c r="AI13" s="938">
        <f t="shared" si="1"/>
        <v>0</v>
      </c>
      <c r="AJ13" s="938">
        <f t="shared" si="1"/>
        <v>0</v>
      </c>
      <c r="AK13" s="938">
        <f t="shared" si="1"/>
        <v>0</v>
      </c>
      <c r="AL13" s="938">
        <f t="shared" si="1"/>
        <v>29</v>
      </c>
      <c r="AM13" s="938">
        <f t="shared" si="1"/>
        <v>11</v>
      </c>
      <c r="AN13" s="938">
        <f t="shared" si="1"/>
        <v>0</v>
      </c>
      <c r="AO13" s="938">
        <f t="shared" si="1"/>
        <v>0</v>
      </c>
      <c r="AP13" s="943">
        <f>IF(ISNUMBER(((Datos!L13/Datos!K13)*11)/factor_trimestre),((Datos!L13/Datos!K13)*11)/factor_trimestre," - ")</f>
        <v>8.1967213114754092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2.4875621890547265E-2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0</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1.9333333333333333</v>
      </c>
      <c r="AQ18" s="943">
        <f>IF(ISNUMBER(((Datos!M18/Datos!L18)*11)/factor_trimestre),((Datos!M18/Datos!L18)*11)/factor_trimestre," - ")</f>
        <v>0.10344827586206896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-8.3333333333333329E-2</v>
      </c>
      <c r="AW18" s="945">
        <f>IF(ISNUMBER((Datos!Q18-Datos!R18)/(Datos!S18-Datos!Q18+Datos!R18)),(Datos!Q18-Datos!R18)/(Datos!S18-Datos!Q18+Datos!R18)," - ")</f>
        <v>-9.6618357487922704E-2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31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21</v>
      </c>
      <c r="AE19" s="956">
        <f t="shared" si="5"/>
        <v>0</v>
      </c>
      <c r="AF19" s="957">
        <f t="shared" si="5"/>
        <v>0</v>
      </c>
      <c r="AG19" s="957">
        <f t="shared" si="5"/>
        <v>0</v>
      </c>
      <c r="AH19" s="957">
        <f t="shared" si="5"/>
        <v>412</v>
      </c>
      <c r="AI19" s="957">
        <f t="shared" si="5"/>
        <v>0</v>
      </c>
      <c r="AJ19" s="958">
        <f t="shared" si="5"/>
        <v>0</v>
      </c>
      <c r="AK19" s="958">
        <f t="shared" si="5"/>
        <v>0</v>
      </c>
      <c r="AL19" s="950">
        <f t="shared" si="5"/>
        <v>29</v>
      </c>
      <c r="AM19" s="950">
        <f t="shared" si="5"/>
        <v>11</v>
      </c>
      <c r="AN19" s="950">
        <f t="shared" si="5"/>
        <v>0</v>
      </c>
      <c r="AO19" s="950">
        <f t="shared" si="5"/>
        <v>0</v>
      </c>
      <c r="AP19" s="950">
        <f>IF(ISNUMBER(((Datos!L19/Datos!K19)*11)/factor_trimestre),((Datos!L19/Datos!K19)*11)/factor_trimestre," - ")</f>
        <v>4.0441988950276242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1.8779342723004695E-2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16.743157806499148</v>
      </c>
      <c r="AM21" s="735"/>
      <c r="AN21" s="735">
        <f>IF(ISNUMBER(STDEV(AN8:AN18)),STDEV(AN8:AN18),"-")</f>
        <v>0</v>
      </c>
      <c r="AO21" s="741">
        <f>IF(ISNUMBER(STDEV(AO8:AO18)),STDEV(AO8:AO18),"-")</f>
        <v>0</v>
      </c>
      <c r="AP21" s="778">
        <f>IF(ISNUMBER(STDEV(AP8:AP18)),STDEV(AP8:AP18),"-")</f>
        <v>3.5353014028620309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Rh8Ie/KuVcvRlsXHAfKvOp7ZuArymZZTu8WtokMEVfI4H7ZJQUIVCzD+XQGvD5pLdjBlFmtFjSmrl4Aalegb5A==" saltValue="13mz3gMumH2c5sIGAo2oI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CACERES</v>
      </c>
      <c r="C3" s="414"/>
      <c r="F3" s="374"/>
      <c r="G3" s="374"/>
      <c r="H3" s="374"/>
    </row>
    <row r="4" spans="1:15" ht="13.5" thickBot="1">
      <c r="A4" s="374"/>
      <c r="B4" s="390" t="str">
        <f>Criterios!A11 &amp;"  "&amp;Criterios!B11</f>
        <v>Resumenes por Partidos Judiciales  LOGROSAN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t="str">
        <f>IF(ISNUMBER(E10/Datos!BH10),E10/Datos!BH10," - ")</f>
        <v xml:space="preserve"> - </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5X8q3l9QSjVhyBOhl7rcfzjKJYvNiH3aMsZswvG+pj2/BPEUbC13cdpmXpnqVrda/8T85dL/Ro4OP+GsDZvXcA==" saltValue="nsHjGytp1lkhaSclJQow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LOGROSAN</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0</v>
      </c>
      <c r="C10" s="409">
        <f>Datos!AQ10</f>
        <v>0</v>
      </c>
      <c r="D10" s="402" t="str">
        <f>IF(ISNUMBER(Datos!M10),Datos!M10," - ")</f>
        <v xml:space="preserve"> - </v>
      </c>
      <c r="E10" s="403" t="str">
        <f>IF(ISNUMBER(D10/B10),D10/B10," - ")</f>
        <v xml:space="preserve"> - </v>
      </c>
      <c r="F10" s="402" t="str">
        <f>IF(ISNUMBER(Datos!N10),Datos!N10," - ")</f>
        <v xml:space="preserve"> - </v>
      </c>
      <c r="G10" s="403" t="str">
        <f>IF(ISNUMBER(F10/B10),F10/B10," - ")</f>
        <v xml:space="preserve"> - </v>
      </c>
      <c r="H10" s="402" t="str">
        <f>IF(ISNUMBER(Datos!O10),Datos!O10," - ")</f>
        <v xml:space="preserve"> - </v>
      </c>
      <c r="I10" s="403" t="str">
        <f t="shared" ref="I10:I12" si="2">IF(ISNUMBER(H10/B10),H10/B10," - ")</f>
        <v xml:space="preserve"> - </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29</v>
      </c>
      <c r="E12" s="403">
        <f t="shared" si="0"/>
        <v>29</v>
      </c>
      <c r="F12" s="402">
        <f>IF(ISNUMBER(Datos!N12),Datos!N12," - ")</f>
        <v>11</v>
      </c>
      <c r="G12" s="403">
        <f t="shared" si="1"/>
        <v>11</v>
      </c>
      <c r="H12" s="402">
        <f>IF(ISNUMBER(Datos!O12),Datos!O12," - ")</f>
        <v>19</v>
      </c>
      <c r="I12" s="403">
        <f t="shared" si="2"/>
        <v>19</v>
      </c>
      <c r="BZ12" s="1185">
        <f>Datos!EZ12</f>
        <v>0</v>
      </c>
    </row>
    <row r="13" spans="1:78" ht="14.25" thickTop="1" thickBot="1">
      <c r="A13" s="847" t="str">
        <f>Datos!A13</f>
        <v>TOTAL</v>
      </c>
      <c r="B13" s="848">
        <f>Datos!AP13</f>
        <v>1</v>
      </c>
      <c r="C13" s="850">
        <f>Datos!AR13</f>
        <v>1</v>
      </c>
      <c r="D13" s="848">
        <f>SUBTOTAL(9,D9:D12)</f>
        <v>29</v>
      </c>
      <c r="E13" s="849">
        <f t="shared" si="0"/>
        <v>29</v>
      </c>
      <c r="F13" s="848">
        <f>SUBTOTAL(9,F9:F12)</f>
        <v>11</v>
      </c>
      <c r="G13" s="849">
        <f t="shared" si="1"/>
        <v>11</v>
      </c>
      <c r="H13" s="848">
        <f>SUBTOTAL(9,H9:H12)</f>
        <v>19</v>
      </c>
      <c r="I13" s="849">
        <f>IF(ISNUMBER(H13/B13),H13/B13," - ")</f>
        <v>19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6</v>
      </c>
      <c r="E16" s="403">
        <f t="shared" si="3"/>
        <v>6</v>
      </c>
      <c r="F16" s="402">
        <f>IF(ISNUMBER(Datos!N16),Datos!N16," - ")</f>
        <v>91</v>
      </c>
      <c r="G16" s="403">
        <f t="shared" si="4"/>
        <v>91</v>
      </c>
      <c r="H16" s="402">
        <f>IF(ISNUMBER(Datos!O16),Datos!O16," - ")</f>
        <v>0</v>
      </c>
      <c r="I16" s="403">
        <f t="shared" si="5"/>
        <v>0</v>
      </c>
      <c r="BZ16" s="1185">
        <f>Datos!EZ16</f>
        <v>0</v>
      </c>
    </row>
    <row r="17" spans="1:78" ht="13.5" thickBot="1">
      <c r="A17" s="401" t="str">
        <f>Datos!A17</f>
        <v>Jdos. Violencia contra la mujer/Secc Viol. TI.</v>
      </c>
      <c r="B17" s="426">
        <f>Datos!AO17</f>
        <v>0</v>
      </c>
      <c r="C17" s="427">
        <f>Datos!AQ17</f>
        <v>0</v>
      </c>
      <c r="D17" s="402" t="str">
        <f>IF(ISNUMBER(Datos!M17),Datos!M17," - ")</f>
        <v xml:space="preserve"> - </v>
      </c>
      <c r="E17" s="403" t="str">
        <f>IF(ISNUMBER(D17/B17),D17/B17," - ")</f>
        <v xml:space="preserve"> - </v>
      </c>
      <c r="F17" s="402" t="str">
        <f>IF(ISNUMBER(Datos!N17),Datos!N17," - ")</f>
        <v xml:space="preserve"> - </v>
      </c>
      <c r="G17" s="403" t="str">
        <f>IF(ISNUMBER(F17/B17),F17/B17," - ")</f>
        <v xml:space="preserve"> - </v>
      </c>
      <c r="H17" s="402" t="str">
        <f>IF(ISNUMBER(Datos!O17),Datos!O17," - ")</f>
        <v xml:space="preserve"> - </v>
      </c>
      <c r="I17" s="403" t="str">
        <f t="shared" si="5"/>
        <v xml:space="preserve"> - </v>
      </c>
      <c r="BZ17" s="1185">
        <f>Datos!EZ17</f>
        <v>0</v>
      </c>
    </row>
    <row r="18" spans="1:78" ht="14.25" thickTop="1" thickBot="1">
      <c r="A18" s="847" t="str">
        <f>Datos!A18</f>
        <v>TOTAL</v>
      </c>
      <c r="B18" s="848">
        <f>Datos!AP18</f>
        <v>1</v>
      </c>
      <c r="C18" s="850">
        <f>Datos!AR18</f>
        <v>1</v>
      </c>
      <c r="D18" s="848">
        <f>SUBTOTAL(9,D15:D17)</f>
        <v>6</v>
      </c>
      <c r="E18" s="849">
        <f t="shared" si="3"/>
        <v>6</v>
      </c>
      <c r="F18" s="848">
        <f>SUBTOTAL(9,F15:F17)</f>
        <v>91</v>
      </c>
      <c r="G18" s="849">
        <f t="shared" si="4"/>
        <v>91</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35</v>
      </c>
      <c r="E19" s="794">
        <f>IF(ISNUMBER(D19/B19),D19/B19," - ")</f>
        <v>35</v>
      </c>
      <c r="F19" s="793">
        <f>SUBTOTAL(9,F8:F18)</f>
        <v>102</v>
      </c>
      <c r="G19" s="794">
        <f>IF(ISNUMBER(F19/B19),F19/B19," - ")</f>
        <v>102</v>
      </c>
      <c r="H19" s="793">
        <f>SUBTOTAL(9,H8:H18)</f>
        <v>19</v>
      </c>
      <c r="I19" s="794">
        <f>IF(ISNUMBER(H19/B19),H19/B19," - ")</f>
        <v>19</v>
      </c>
    </row>
    <row r="22" spans="1:78">
      <c r="A22" s="390" t="str">
        <f>Criterios!A4</f>
        <v>Fecha Informe: 09 dic. 2025</v>
      </c>
    </row>
    <row r="27" spans="1:78">
      <c r="A27" s="413"/>
    </row>
  </sheetData>
  <sheetProtection algorithmName="SHA-512" hashValue="bsM2AR1ihUHkQmHmb55t/D4VcRkb+1rAt8vBAbGG4K0u8D4G22kZAbMbYiPWecESh8ki3Ld1XifcTWrXwdzLPg==" saltValue="fZsFRBjOJCsQVy6YfKBG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LOGROSAN</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t="str">
        <f>IF(ISNUMBER(Datos!P10),Datos!P10," - ")</f>
        <v xml:space="preserve"> - </v>
      </c>
      <c r="C10" s="433" t="str">
        <f>IF(ISNUMBER(Datos!Q10),Datos!Q10," - ")</f>
        <v xml:space="preserve"> - </v>
      </c>
      <c r="D10" s="407" t="str">
        <f>IF(ISNUMBER(Datos!R10),Datos!R10," - ")</f>
        <v xml:space="preserve"> - </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31</v>
      </c>
      <c r="C12" s="433">
        <f>IF(ISNUMBER(Datos!Q12),Datos!Q12," - ")</f>
        <v>21</v>
      </c>
      <c r="D12" s="407">
        <f>IF(ISNUMBER(Datos!R12),Datos!R12," - ")</f>
        <v>412</v>
      </c>
    </row>
    <row r="13" spans="1:4" ht="14.25" thickTop="1" thickBot="1">
      <c r="A13" s="847" t="str">
        <f>Datos!A13</f>
        <v>TOTAL</v>
      </c>
      <c r="B13" s="848">
        <f>SUBTOTAL(9,B9:B12)</f>
        <v>31</v>
      </c>
      <c r="C13" s="852">
        <f>SUBTOTAL(9,C9:C12)</f>
        <v>21</v>
      </c>
      <c r="D13" s="850">
        <f>SUBTOTAL(9,D9:D12)</f>
        <v>412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2</v>
      </c>
      <c r="D16" s="407">
        <f>IF(ISNUMBER(Datos!R16),Datos!R16," - ")</f>
        <v>22</v>
      </c>
    </row>
    <row r="17" spans="1:4" ht="13.5" thickBot="1">
      <c r="A17" s="401" t="str">
        <f>Datos!A17</f>
        <v>Jdos. Violencia contra la mujer/Secc Viol. TI.</v>
      </c>
      <c r="B17" s="432" t="str">
        <f>IF(ISNUMBER(Datos!P17),Datos!P17," - ")</f>
        <v xml:space="preserve"> - </v>
      </c>
      <c r="C17" s="433" t="str">
        <f>IF(ISNUMBER(Datos!Q17),Datos!Q17," - ")</f>
        <v xml:space="preserve"> - </v>
      </c>
      <c r="D17" s="407" t="str">
        <f>IF(ISNUMBER(Datos!R17),Datos!R17," - ")</f>
        <v xml:space="preserve"> - </v>
      </c>
    </row>
    <row r="18" spans="1:4" ht="14.25" thickTop="1" thickBot="1">
      <c r="A18" s="847" t="str">
        <f>Datos!A18</f>
        <v>TOTAL</v>
      </c>
      <c r="B18" s="848">
        <f>SUBTOTAL(9,B15:B17)</f>
        <v>0</v>
      </c>
      <c r="C18" s="852">
        <f>SUBTOTAL(9,C15:C17)</f>
        <v>2</v>
      </c>
      <c r="D18" s="850">
        <f>SUBTOTAL(9,D15:D17)</f>
        <v>22</v>
      </c>
    </row>
    <row r="19" spans="1:4" ht="16.5" customHeight="1" thickTop="1" thickBot="1">
      <c r="A19" s="792" t="str">
        <f>Datos!A19</f>
        <v>TOTAL JURISDICCIONES</v>
      </c>
      <c r="B19" s="797">
        <f>SUBTOTAL(9,B8:B18)</f>
        <v>31</v>
      </c>
      <c r="C19" s="798">
        <f>SUBTOTAL(9,C8:C18)</f>
        <v>23</v>
      </c>
      <c r="D19" s="799">
        <f>SUBTOTAL(9,D8:D18)</f>
        <v>434</v>
      </c>
    </row>
    <row r="20" spans="1:4" ht="7.5" customHeight="1"/>
    <row r="21" spans="1:4" ht="6" customHeight="1"/>
    <row r="22" spans="1:4">
      <c r="A22" s="390" t="str">
        <f>Criterios!A4</f>
        <v>Fecha Informe: 09 dic. 2025</v>
      </c>
    </row>
    <row r="27" spans="1:4">
      <c r="A27" s="413"/>
    </row>
  </sheetData>
  <sheetProtection algorithmName="SHA-512" hashValue="hyM1mlDecwn29rxCD6xJVMCyze058w9yG0I5yNUfhgCtEJhQThtc8ybEHKfnX+hA9z+nXK/RAv1o/oaM80cBTw==" saltValue="7TjosYI5eiuK7Lp5+pUS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LOGROSAN</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8.455882352941177E-2</v>
      </c>
      <c r="C12" s="455">
        <f>IF(ISNUMBER(
   IF(J_V="SI",(Datos!J12-Datos!T12)/Datos!T12,(Datos!J12+Datos!Z12-(Datos!T12+Datos!AH12))/(Datos!T12+Datos!AH12))
     ),IF(J_V="SI",(Datos!J12-Datos!T12)/Datos!T12,(Datos!J12+Datos!Z12-(Datos!T12+Datos!AH12))/(Datos!T12+Datos!AH12))," - ")</f>
        <v>-0.38461538461538464</v>
      </c>
      <c r="D12" s="455">
        <f>IF(ISNUMBER(
   IF(J_V="SI",(Datos!K12-Datos!U12)/Datos!U12,(Datos!K12+Datos!AA12-(Datos!U12+Datos!AI12))/(Datos!U12+Datos!AI12))
     ),IF(J_V="SI",(Datos!K12-Datos!U12)/Datos!U12,(Datos!K12+Datos!AA12-(Datos!U12+Datos!AI12))/(Datos!U12+Datos!AI12))," - ")</f>
        <v>-5.8823529411764705E-2</v>
      </c>
      <c r="E12" s="455">
        <f>IF(ISNUMBER(
   IF(J_V="SI",(Datos!L12-Datos!V12)/Datos!V12,(Datos!L12+Datos!AB12-(Datos!V12+Datos!AJ12))/(Datos!V12+Datos!AJ12))
     ),IF(J_V="SI",(Datos!L12-Datos!V12)/Datos!V12,(Datos!L12+Datos!AB12-(Datos!V12+Datos!AJ12))/(Datos!V12+Datos!AJ12))," - ")</f>
        <v>-0.21183800623052959</v>
      </c>
      <c r="F12" s="455">
        <f>IF(ISNUMBER((Datos!M12-Datos!W12)/Datos!W12),(Datos!M12-Datos!W12)/Datos!W12," - ")</f>
        <v>0.52631578947368418</v>
      </c>
      <c r="G12" s="456">
        <f>IF(ISNUMBER((Datos!N12-Datos!X12)/Datos!X12),(Datos!N12-Datos!X12)/Datos!X12," - ")</f>
        <v>0.22222222222222221</v>
      </c>
      <c r="H12" s="454">
        <f>IF(ISNUMBER(((NºAsuntos!G12/NºAsuntos!E12)-Datos!BD12)/Datos!BD12),((NºAsuntos!G12/NºAsuntos!E12)-Datos!BD12)/Datos!BD12," - ")</f>
        <v>0.52941176470588214</v>
      </c>
      <c r="I12" s="455">
        <f>IF(ISNUMBER(((NºAsuntos!I12/NºAsuntos!G12)-Datos!BE12)/Datos!BE12),((NºAsuntos!I12/NºAsuntos!G12)-Datos!BE12)/Datos!BE12," - ")</f>
        <v>-0.16257788161993772</v>
      </c>
      <c r="J12" s="460">
        <f>IF(ISNUMBER((('Resol  Asuntos'!D12/NºAsuntos!G12)-Datos!BF12)/Datos!BF12),(('Resol  Asuntos'!D12/NºAsuntos!G12)-Datos!BF12)/Datos!BF12," - ")</f>
        <v>2.4236111111111112</v>
      </c>
      <c r="K12" s="461">
        <f>IF(ISNUMBER((((NºAsuntos!C12+NºAsuntos!E12)/NºAsuntos!G12)-Datos!BG12)/Datos!BG12),(((NºAsuntos!C12+NºAsuntos!E12)/NºAsuntos!G12)-Datos!BG12)/Datos!BG12," - ")</f>
        <v>2.4100257069408558E-3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8.455882352941177E-2</v>
      </c>
      <c r="C13" s="854">
        <f>IF(ISNUMBER(
   IF(J_V="SI",(Datos!J13-Datos!T13)/Datos!T13,(Datos!J13+Datos!Z13-(Datos!T13+Datos!AH13))/(Datos!T13+Datos!AH13))
     ),IF(J_V="SI",(Datos!J13-Datos!T13)/Datos!T13,(Datos!J13+Datos!Z13-(Datos!T13+Datos!AH13))/(Datos!T13+Datos!AH13))," - ")</f>
        <v>-0.38461538461538464</v>
      </c>
      <c r="D13" s="854">
        <f>IF(ISNUMBER(
   IF(J_V="SI",(Datos!K13-Datos!U13)/Datos!U13,(Datos!K13+Datos!AA13-(Datos!U13+Datos!AI13))/(Datos!U13+Datos!AI13))
     ),IF(J_V="SI",(Datos!K13-Datos!U13)/Datos!U13,(Datos!K13+Datos!AA13-(Datos!U13+Datos!AI13))/(Datos!U13+Datos!AI13))," - ")</f>
        <v>-5.8823529411764705E-2</v>
      </c>
      <c r="E13" s="854">
        <f>IF(ISNUMBER(
   IF(J_V="SI",(Datos!L13-Datos!V13)/Datos!V13,(Datos!L13+Datos!AB13-(Datos!V13+Datos!AJ13))/(Datos!V13+Datos!AJ13))
     ),IF(J_V="SI",(Datos!L13-Datos!V13)/Datos!V13,(Datos!L13+Datos!AB13-(Datos!V13+Datos!AJ13))/(Datos!V13+Datos!AJ13))," - ")</f>
        <v>-0.21183800623052959</v>
      </c>
      <c r="F13" s="855">
        <f>IF(ISNUMBER((Datos!M13-Datos!W13)/Datos!W13),(Datos!M13-Datos!W13)/Datos!W13," - ")</f>
        <v>0.52631578947368418</v>
      </c>
      <c r="G13" s="856">
        <f>IF(ISNUMBER((Datos!N13-Datos!X13)/Datos!X13),(Datos!N13-Datos!X13)/Datos!X13," - ")</f>
        <v>0.22222222222222221</v>
      </c>
      <c r="H13" s="856">
        <f>IF(ISNUMBER(((NºAsuntos!G13/NºAsuntos!E13)-Datos!BD13)/Datos!BD13),((NºAsuntos!G13/NºAsuntos!E13)-Datos!BD13)/Datos!BD13," - ")</f>
        <v>0.52941176470588214</v>
      </c>
      <c r="I13" s="856">
        <f>IF(ISNUMBER(((NºAsuntos!I13/NºAsuntos!G13)-Datos!BE13)/Datos!BE13),((NºAsuntos!I13/NºAsuntos!G13)-Datos!BE13)/Datos!BE13," - ")</f>
        <v>-0.16257788161993772</v>
      </c>
      <c r="J13" s="856">
        <f>IF(ISNUMBER((('Resol  Asuntos'!D13/NºAsuntos!G13)-Datos!BF13)/Datos!BF13),(('Resol  Asuntos'!D13/NºAsuntos!G13)-Datos!BF13)/Datos!BF13," - ")</f>
        <v>2.4236111111111112</v>
      </c>
      <c r="K13" s="856">
        <f>IF(ISNUMBER((((NºAsuntos!C13+NºAsuntos!E13)/NºAsuntos!G13)-Datos!BG13)/Datos!BG13),(((NºAsuntos!C13+NºAsuntos!E13)/NºAsuntos!G13)-Datos!BG13)/Datos!BG13," - ")</f>
        <v>2.4100257069408558E-3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-0.33155080213903743</v>
      </c>
      <c r="C16" s="455">
        <f>IF(ISNUMBER(
   IF(D_I="SI",(Datos!J16-Datos!T16)/Datos!T16,(Datos!J16+Datos!AD16-(Datos!T16+Datos!AL16))/(Datos!T16+Datos!AL16))
     ),IF(D_I="SI",(Datos!J16-Datos!T16)/Datos!T16,(Datos!J16+Datos!AD16-(Datos!T16+Datos!AL16))/(Datos!T16+Datos!AL16))," - ")</f>
        <v>-9.7560975609756101E-2</v>
      </c>
      <c r="D16" s="455">
        <f>IF(ISNUMBER(
   IF(D_I="SI",(Datos!K16-Datos!U16)/Datos!U16,(Datos!K16+Datos!AE16-(Datos!U16+Datos!AM16))/(Datos!U16+Datos!AM16))
     ),IF(D_I="SI",(Datos!K16-Datos!U16)/Datos!U16,(Datos!K16+Datos!AE16-(Datos!U16+Datos!AM16))/(Datos!U16+Datos!AM16))," - ")</f>
        <v>0.17647058823529413</v>
      </c>
      <c r="E16" s="455">
        <f>IF(ISNUMBER(
   IF(D_I="SI",(Datos!L16-Datos!V16)/Datos!V16,(Datos!L16+Datos!AF16-(Datos!V16+Datos!AN16))/(Datos!V16+Datos!AN16))
     ),IF(D_I="SI",(Datos!L16-Datos!V16)/Datos!V16,(Datos!L16+Datos!AF16-(Datos!V16+Datos!AN16))/(Datos!V16+Datos!AN16))," - ")</f>
        <v>-0.44230769230769229</v>
      </c>
      <c r="F16" s="455">
        <f>IF(ISNUMBER((Datos!M16-Datos!W16)/Datos!W16),(Datos!M16-Datos!W16)/Datos!W16," - ")</f>
        <v>-0.80645161290322576</v>
      </c>
      <c r="G16" s="456">
        <f>IF(ISNUMBER((Datos!N16-Datos!X16)/Datos!X16),(Datos!N16-Datos!X16)/Datos!X16," - ")</f>
        <v>0.625</v>
      </c>
      <c r="H16" s="454">
        <f>IF(ISNUMBER(((NºAsuntos!G16/NºAsuntos!E16)-Datos!BD16)/Datos!BD16),((NºAsuntos!G16/NºAsuntos!E16)-Datos!BD16)/Datos!BD16," - ")</f>
        <v>0.30365659777424497</v>
      </c>
      <c r="I16" s="455">
        <f>IF(ISNUMBER(((NºAsuntos!I16/NºAsuntos!G16)-Datos!BE16)/Datos!BE16),((NºAsuntos!I16/NºAsuntos!G16)-Datos!BE16)/Datos!BE16," - ")</f>
        <v>-0.52596153846153837</v>
      </c>
      <c r="J16" s="460">
        <f>IF(ISNUMBER((('Resol  Asuntos'!D16/NºAsuntos!G16)-Datos!BF16)/Datos!BF16),(('Resol  Asuntos'!D16/NºAsuntos!G16)-Datos!BF16)/Datos!BF16," - ")</f>
        <v>-0.8354838709677419</v>
      </c>
      <c r="K16" s="461">
        <f>IF(ISNUMBER((((NºAsuntos!C16+NºAsuntos!E16)/NºAsuntos!G16)-Datos!BG16)/Datos!BG16),(((NºAsuntos!C16+NºAsuntos!E16)/NºAsuntos!G16)-Datos!BG16)/Datos!BG16," - ")</f>
        <v>-0.35290322580645161</v>
      </c>
    </row>
    <row r="17" spans="1:12" ht="21.75" thickBot="1">
      <c r="A17" s="401" t="str">
        <f>Datos!A17</f>
        <v>Jdos. Violencia contra la mujer/Secc Viol. TI.</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-0.33155080213903743</v>
      </c>
      <c r="C18" s="854">
        <f>IF(ISNUMBER(
   IF(Criterios!B14="SI",(Datos!J18-Datos!T18)/Datos!T18,(Datos!J18+Datos!AD18-(Datos!T18+Datos!AL18))/(Datos!T18+Datos!AL18))
     ),IF(Criterios!B14="SI",(Datos!J18-Datos!T18)/Datos!T18,(Datos!J18+Datos!AD18-(Datos!T18+Datos!AL18))/(Datos!T18+Datos!AL18))," - ")</f>
        <v>-9.7560975609756101E-2</v>
      </c>
      <c r="D18" s="854">
        <f>IF(ISNUMBER(
   IF(Criterios!B14="SI",(Datos!K18-Datos!U18)/Datos!U18,(Datos!K18+Datos!AE18-(Datos!U18+Datos!AM18))/(Datos!U18+Datos!AM18))
     ),IF(Criterios!B14="SI",(Datos!K18-Datos!U18)/Datos!U18,(Datos!K18+Datos!AE18-(Datos!U18+Datos!AM18))/(Datos!U18+Datos!AM18))," - ")</f>
        <v>0.17647058823529413</v>
      </c>
      <c r="E18" s="854">
        <f>IF(ISNUMBER(
   IF(Criterios!B14="SI",(Datos!L18-Datos!V18)/Datos!V18,(Datos!L18+Datos!AF18-(Datos!V18+Datos!AN18))/(Datos!V18+Datos!AN18))
     ),IF(Criterios!B14="SI",(Datos!L18-Datos!V18)/Datos!V18,(Datos!L18+Datos!AF18-(Datos!V18+Datos!AN18))/(Datos!V18+Datos!AN18))," - ")</f>
        <v>-0.44230769230769229</v>
      </c>
      <c r="F18" s="855">
        <f>IF(ISNUMBER((Datos!M18-Datos!W18)/Datos!W18),(Datos!M18-Datos!W18)/Datos!W18," - ")</f>
        <v>-0.80645161290322576</v>
      </c>
      <c r="G18" s="856">
        <f>IF(ISNUMBER((Datos!N18-Datos!X18)/Datos!X18),(Datos!N18-Datos!X18)/Datos!X18," - ")</f>
        <v>0.625</v>
      </c>
      <c r="H18" s="856">
        <f>IF(ISNUMBER(((NºAsuntos!G18/NºAsuntos!E18)-Datos!BD18)/Datos!BD18),((NºAsuntos!G18/NºAsuntos!E18)-Datos!BD18)/Datos!BD18," - ")</f>
        <v>0.30365659777424497</v>
      </c>
      <c r="I18" s="856">
        <f>IF(ISNUMBER(((NºAsuntos!I18/NºAsuntos!G18)-Datos!BE18)/Datos!BE18),((NºAsuntos!I18/NºAsuntos!G18)-Datos!BE18)/Datos!BE18," - ")</f>
        <v>-0.52596153846153837</v>
      </c>
      <c r="J18" s="856">
        <f>IF(ISNUMBER((('Resol  Asuntos'!D18/NºAsuntos!G18)-Datos!BF18)/Datos!BF18),(('Resol  Asuntos'!D18/NºAsuntos!G18)-Datos!BF18)/Datos!BF18," - ")</f>
        <v>-0.8354838709677419</v>
      </c>
      <c r="K18" s="856">
        <f>IF(ISNUMBER((((NºAsuntos!C18+NºAsuntos!E18)/NºAsuntos!G18)-Datos!BG18)/Datos!BG18),(((NºAsuntos!C18+NºAsuntos!E18)/NºAsuntos!G18)-Datos!BG18)/Datos!BG18," - ")</f>
        <v>-0.35290322580645161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-8.4967320261437912E-2</v>
      </c>
      <c r="C19" s="801">
        <f>IF(ISNUMBER(
   IF(J_V="SI",(Datos!J19-Datos!T19)/Datos!T19,(Datos!J19+Datos!Z19-(Datos!T19+Datos!AH19))/(Datos!T19+Datos!AH19))
     ),IF(J_V="SI",(Datos!J19-Datos!T19)/Datos!T19,(Datos!J19+Datos!Z19-(Datos!T19+Datos!AH19))/(Datos!T19+Datos!AH19))," - ")</f>
        <v>-0.23749999999999999</v>
      </c>
      <c r="D19" s="801">
        <f>IF(ISNUMBER(
   IF(J_V="SI",(Datos!K19-Datos!U19)/Datos!U19,(Datos!K19+Datos!AA19-(Datos!U19+Datos!AI19))/(Datos!U19+Datos!AI19))
     ),IF(J_V="SI",(Datos!K19-Datos!U19)/Datos!U19,(Datos!K19+Datos!AA19-(Datos!U19+Datos!AI19))/(Datos!U19+Datos!AI19))," - ")</f>
        <v>8.2352941176470587E-2</v>
      </c>
      <c r="E19" s="801">
        <f>IF(ISNUMBER(
   IF(J_V="SI",(Datos!L19-Datos!V19)/Datos!V19,(Datos!L19+Datos!AB19-(Datos!V19+Datos!AJ19))/(Datos!V19+Datos!AJ19))
     ),IF(J_V="SI",(Datos!L19-Datos!V19)/Datos!V19,(Datos!L19+Datos!AB19-(Datos!V19+Datos!AJ19))/(Datos!V19+Datos!AJ19))," - ")</f>
        <v>-0.30245746691871456</v>
      </c>
      <c r="F19" s="802">
        <f>IF(ISNUMBER((Datos!M19-Datos!W19)/Datos!W19),(Datos!M19-Datos!W19)/Datos!W19," - ")</f>
        <v>-0.3</v>
      </c>
      <c r="G19" s="803">
        <f>IF(ISNUMBER((Datos!N19-Datos!X19)/Datos!X19),(Datos!N19-Datos!X19)/Datos!X19," - ")</f>
        <v>0.56923076923076921</v>
      </c>
      <c r="H19" s="804">
        <f>IF(ISNUMBER((Tasas!B19-Datos!BD19)/Datos!BD19),(Tasas!B19-Datos!BD19)/Datos!BD19," - ")</f>
        <v>0.41947926711668265</v>
      </c>
      <c r="I19" s="805">
        <f>IF(ISNUMBER((Tasas!C19-Datos!BE19)/Datos!BE19),(Tasas!C19-Datos!BE19)/Datos!BE19," - ")</f>
        <v>-0.35553135530533408</v>
      </c>
      <c r="J19" s="806">
        <f>IF(ISNUMBER((Tasas!D19-Datos!BF19)/Datos!BF19),(Tasas!D19-Datos!BF19)/Datos!BF19," - ")</f>
        <v>-0.19157608695652167</v>
      </c>
      <c r="K19" s="806">
        <f>IF(ISNUMBER((Tasas!E19-Datos!BG19)/Datos!BG19),(Tasas!E19-Datos!BG19)/Datos!BG19," - ")</f>
        <v>-0.2029763015487964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7D+TCYtx0fsd7QFq3udk3nqowLx5gBqZyyCx6A448C/1s1TJA8o9+Jr/gOpdRexoyz8Xpy5AAM6b9o6h45ymg==" saltValue="pcgAFUxTez8T6X1E9zaE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LOGROSAN</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0.88888888888888884</v>
      </c>
      <c r="C12" s="442">
        <f>IF(ISNUMBER(NºAsuntos!I12/NºAsuntos!G12),NºAsuntos!I12/NºAsuntos!G12," - ")</f>
        <v>3.953125</v>
      </c>
      <c r="D12" s="443">
        <f>IF(ISNUMBER('Resol  Asuntos'!D12/NºAsuntos!G12),'Resol  Asuntos'!D12/NºAsuntos!G12," - ")</f>
        <v>0.453125</v>
      </c>
      <c r="E12" s="444">
        <f>IF(ISNUMBER((NºAsuntos!C12+NºAsuntos!E12)/NºAsuntos!G12),(NºAsuntos!C12+NºAsuntos!E12)/NºAsuntos!G12," - ")</f>
        <v>5.734375</v>
      </c>
      <c r="G12" s="462"/>
    </row>
    <row r="13" spans="1:7" ht="14.25" thickTop="1" thickBot="1">
      <c r="A13" s="847" t="str">
        <f>Datos!A13</f>
        <v>TOTAL</v>
      </c>
      <c r="B13" s="857">
        <f>IF(ISNUMBER(NºAsuntos!G13/NºAsuntos!E13),NºAsuntos!G13/NºAsuntos!E13," - ")</f>
        <v>0.88888888888888884</v>
      </c>
      <c r="C13" s="858">
        <f>IF(ISNUMBER(NºAsuntos!I13/NºAsuntos!G13),NºAsuntos!I13/NºAsuntos!G13," - ")</f>
        <v>3.953125</v>
      </c>
      <c r="D13" s="859">
        <f>IF(ISNUMBER('Resol  Asuntos'!D13/NºAsuntos!G13),'Resol  Asuntos'!D13/NºAsuntos!G13," - ")</f>
        <v>0.453125</v>
      </c>
      <c r="E13" s="860">
        <f>IF(ISNUMBER((NºAsuntos!C13+NºAsuntos!E13)/NºAsuntos!G13),(NºAsuntos!C13+NºAsuntos!E13)/NºAsuntos!G13," - ")</f>
        <v>5.734375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1.0810810810810811</v>
      </c>
      <c r="C16" s="442">
        <f>IF(ISNUMBER(NºAsuntos!I16/NºAsuntos!G16),NºAsuntos!I16/NºAsuntos!G16," - ")</f>
        <v>0.96666666666666667</v>
      </c>
      <c r="D16" s="443">
        <f>IF(ISNUMBER('Resol  Asuntos'!D16/NºAsuntos!G16),'Resol  Asuntos'!D16/NºAsuntos!G16," - ")</f>
        <v>0.05</v>
      </c>
      <c r="E16" s="444">
        <f>IF(ISNUMBER((NºAsuntos!C16+NºAsuntos!E16)/NºAsuntos!G16),(NºAsuntos!C16+NºAsuntos!E16)/NºAsuntos!G16," - ")</f>
        <v>1.9666666666666666</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1.0810810810810811</v>
      </c>
      <c r="C18" s="858">
        <f>IF(ISNUMBER(NºAsuntos!I18/NºAsuntos!G18),NºAsuntos!I18/NºAsuntos!G18," - ")</f>
        <v>0.96666666666666667</v>
      </c>
      <c r="D18" s="861">
        <f>IF(ISNUMBER('Resol  Asuntos'!D18/NºAsuntos!G18),'Resol  Asuntos'!D18/NºAsuntos!G18," - ")</f>
        <v>0.05</v>
      </c>
      <c r="E18" s="860">
        <f>IF(ISNUMBER((NºAsuntos!C18+NºAsuntos!E18)/NºAsuntos!G18),(NºAsuntos!C18+NºAsuntos!E18)/NºAsuntos!G18," - ")</f>
        <v>1.9666666666666666</v>
      </c>
      <c r="G18" s="462"/>
    </row>
    <row r="19" spans="1:7" ht="15.75" customHeight="1" thickTop="1" thickBot="1">
      <c r="A19" s="792" t="str">
        <f>Datos!A19</f>
        <v>TOTAL JURISDICCIONES</v>
      </c>
      <c r="B19" s="807">
        <f>IF(ISNUMBER(NºAsuntos!G19/NºAsuntos!E19),NºAsuntos!G19/NºAsuntos!E19," - ")</f>
        <v>1.0054644808743169</v>
      </c>
      <c r="C19" s="808">
        <f>IF(ISNUMBER(NºAsuntos!I19/NºAsuntos!G19),NºAsuntos!I19/NºAsuntos!G19," - ")</f>
        <v>2.0054347826086958</v>
      </c>
      <c r="D19" s="809">
        <f>IF(ISNUMBER('Resol  Asuntos'!D19/NºAsuntos!G19),'Resol  Asuntos'!D19/NºAsuntos!G19," - ")</f>
        <v>0.19021739130434784</v>
      </c>
      <c r="E19" s="810">
        <f>IF(ISNUMBER((NºAsuntos!C19+NºAsuntos!E19)/NºAsuntos!G19),(NºAsuntos!C19+NºAsuntos!E19)/NºAsuntos!G19," - ")</f>
        <v>3.277173913043478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36Cg6BjcD65PY1U72q9nE2cgP3aHLeNIHxt+7JTDbaxe2JTzJyIy4MmOBI+BMh9C/XFXGU0BzOc4TcVD3Rd9cg==" saltValue="h+L1ehSwdNVEg4trm/8j6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LOGROSAN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0</v>
      </c>
      <c r="B10" s="274" t="s">
        <v>246</v>
      </c>
      <c r="C10" s="7" t="str">
        <f>Datos!A10</f>
        <v>Jdos. Violencia contra la mujer/Secc Viol. TI.</v>
      </c>
      <c r="D10" s="7"/>
      <c r="E10" s="1024">
        <f>IF(ISNUMBER(Datos!AQ10),Datos!AQ10," - ")</f>
        <v>0</v>
      </c>
      <c r="F10" s="224" t="str">
        <f>IF(ISNUMBER(Datos!L10+Datos!K10-Datos!J10-K10),Datos!L10+Datos!K10-Datos!J10-K10," - ")</f>
        <v xml:space="preserve"> - </v>
      </c>
      <c r="G10" s="332" t="str">
        <f>IF(ISNUMBER(Datos!I10),Datos!I10," - ")</f>
        <v xml:space="preserve"> - </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t="str">
        <f>IF(ISNUMBER(Datos!K10),Datos!K10," - ")</f>
        <v xml:space="preserve"> - </v>
      </c>
      <c r="X10" s="225" t="str">
        <f>IF(ISNUMBER(Datos!Q10),Datos!Q10," - ")</f>
        <v xml:space="preserve"> - </v>
      </c>
      <c r="Y10" s="333">
        <f t="shared" ref="Y10:Y12" si="0">SUM(W10:X10)</f>
        <v>0</v>
      </c>
      <c r="Z10" s="334" t="str">
        <f>IF(ISNUMBER(Datos!CC10),Datos!CC10," - ")</f>
        <v xml:space="preserve"> - </v>
      </c>
      <c r="AA10" s="331" t="str">
        <f>IF(ISNUMBER(Datos!L10),Datos!L10,"-")</f>
        <v>-</v>
      </c>
      <c r="AB10" s="333" t="str">
        <f>IF(ISNUMBER(Datos!R10),Datos!R10," - ")</f>
        <v xml:space="preserve"> - </v>
      </c>
      <c r="AC10" s="333" t="str">
        <f t="shared" ref="AC10:AC12" si="1">IF(ISNUMBER(AA10+AB10),AA10+AB10," - ")</f>
        <v xml:space="preserve"> - </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t="str">
        <f>IF(ISNUMBER(Datos!M10),Datos!M10," - ")</f>
        <v xml:space="preserve"> - </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v>
      </c>
      <c r="Y12" s="333">
        <f t="shared" si="0"/>
        <v>21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412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v>
      </c>
      <c r="AJ12" s="228" t="str">
        <f>IF(ISNUMBER(Datos!BW12),Datos!BW12," - ")</f>
        <v xml:space="preserve"> - </v>
      </c>
      <c r="AK12" s="227" t="str">
        <f>IF(ISNUMBER(Datos!BX12),Datos!BX12," - ")</f>
        <v xml:space="preserve"> - </v>
      </c>
      <c r="AL12" s="242">
        <f>IF(ISNUMBER(NºAsuntos!G12/NºAsuntos!E12),NºAsuntos!G12/NºAsuntos!E12," - ")</f>
        <v>0.88888888888888884</v>
      </c>
      <c r="AM12" s="259">
        <f>IF(ISNUMBER(((NºAsuntos!I12/NºAsuntos!G12)*11)/factor_trimestre),((NºAsuntos!I12/NºAsuntos!G12)*11)/factor_trimestre," - ")</f>
        <v>7.90625</v>
      </c>
      <c r="AN12" s="243">
        <f>IF(ISNUMBER('Resol  Asuntos'!D12/NºAsuntos!G12),'Resol  Asuntos'!D12/NºAsuntos!G12," - ")</f>
        <v>0.453125</v>
      </c>
      <c r="AO12" s="244">
        <f>IF(ISNUMBER((NºAsuntos!C12+NºAsuntos!E12)/NºAsuntos!G12),(NºAsuntos!C12+NºAsuntos!E12)/NºAsuntos!G12," - ")</f>
        <v>5.734375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31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21</v>
      </c>
      <c r="Y13" s="867">
        <f t="shared" si="4"/>
        <v>21</v>
      </c>
      <c r="Z13" s="867">
        <f t="shared" si="4"/>
        <v>0</v>
      </c>
      <c r="AA13" s="867">
        <f t="shared" si="4"/>
        <v>0</v>
      </c>
      <c r="AB13" s="867">
        <f t="shared" si="4"/>
        <v>412</v>
      </c>
      <c r="AC13" s="867">
        <f t="shared" si="4"/>
        <v>0</v>
      </c>
      <c r="AD13" s="867">
        <f t="shared" si="4"/>
        <v>0</v>
      </c>
      <c r="AE13" s="871">
        <f t="shared" si="4"/>
        <v>0</v>
      </c>
      <c r="AF13" s="864">
        <f t="shared" si="4"/>
        <v>0</v>
      </c>
      <c r="AG13" s="872">
        <f t="shared" si="4"/>
        <v>0</v>
      </c>
      <c r="AH13" s="869">
        <f t="shared" si="4"/>
        <v>0</v>
      </c>
      <c r="AI13" s="864">
        <f t="shared" si="4"/>
        <v>29</v>
      </c>
      <c r="AJ13" s="866">
        <f t="shared" si="4"/>
        <v>0</v>
      </c>
      <c r="AK13" s="869">
        <f>SUBTOTAL(9,AK9:AK12)</f>
        <v>0</v>
      </c>
      <c r="AL13" s="873">
        <f>IF(ISNUMBER(NºAsuntos!G13/NºAsuntos!E13),NºAsuntos!G13/NºAsuntos!E13," - ")</f>
        <v>0.88888888888888884</v>
      </c>
      <c r="AM13" s="873">
        <f>IF(ISNUMBER(((NºAsuntos!I13/NºAsuntos!G13)*11)/factor_trimestre),((NºAsuntos!I13/NºAsuntos!G13)*11)/factor_trimestre," - ")</f>
        <v>7.90625</v>
      </c>
      <c r="AN13" s="874">
        <f>IF(ISNUMBER('Resol  Asuntos'!D13/NºAsuntos!G13),'Resol  Asuntos'!D13/NºAsuntos!G13," - ")</f>
        <v>0.453125</v>
      </c>
      <c r="AO13" s="875">
        <f>IF(ISNUMBER((NºAsuntos!C13+NºAsuntos!E13)/NºAsuntos!G13),(NºAsuntos!C13+NºAsuntos!E13)/NºAsuntos!G13," - ")</f>
        <v>5.734375</v>
      </c>
      <c r="AP13" s="876" t="str">
        <f t="shared" si="2"/>
        <v xml:space="preserve"> - </v>
      </c>
      <c r="AQ13" s="876" t="str">
        <f>IF(ISNUMBER((H13-W13+K13)/(F13)),(H13-W13+K13)/(F13)," - ")</f>
        <v xml:space="preserve"> - </v>
      </c>
      <c r="AR13" s="877">
        <f>IF(ISNUMBER((Datos!P13-Datos!Q13)/(Datos!R13-Datos!P13+Datos!Q13)),(Datos!P13-Datos!Q13)/(Datos!R13-Datos!P13+Datos!Q13)," - ")</f>
        <v>2.4875621890547265E-2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125</v>
      </c>
      <c r="G16" s="332">
        <f>IF(ISNUMBER(IF(D_I="SI",Datos!I16,Datos!I16+Datos!AC16)),IF(D_I="SI",Datos!I16,Datos!I16+Datos!AC16)," - ")</f>
        <v>125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120</v>
      </c>
      <c r="X16" s="225">
        <f>IF(ISNUMBER(Datos!Q16),Datos!Q16," - ")</f>
        <v>2</v>
      </c>
      <c r="Y16" s="333">
        <f t="shared" ref="Y16:Y17" si="7">SUM(W16:X16)</f>
        <v>122</v>
      </c>
      <c r="Z16" s="334" t="str">
        <f>IF(ISNUMBER(Datos!CC16),Datos!CC16," - ")</f>
        <v xml:space="preserve"> - </v>
      </c>
      <c r="AA16" s="331">
        <f>IF(ISNUMBER(IF(D_I="SI",Datos!L16,Datos!L16+Datos!AF16)),IF(D_I="SI",Datos!L16,Datos!L16+Datos!AF16)," - ")</f>
        <v>116</v>
      </c>
      <c r="AB16" s="333">
        <f>IF(ISNUMBER(Datos!R16),Datos!R16," - ")</f>
        <v>22</v>
      </c>
      <c r="AC16" s="333">
        <f t="shared" si="6"/>
        <v>138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v>
      </c>
      <c r="AJ16" s="230" t="str">
        <f>IF(ISNUMBER(Datos!BW16),Datos!BW16," - ")</f>
        <v xml:space="preserve"> - </v>
      </c>
      <c r="AK16" s="231" t="str">
        <f>IF(ISNUMBER(Datos!BX16),Datos!BX16," - ")</f>
        <v xml:space="preserve"> - </v>
      </c>
      <c r="AL16" s="242">
        <f>IF(ISNUMBER(NºAsuntos!G16/NºAsuntos!E16),NºAsuntos!G16/NºAsuntos!E16," - ")</f>
        <v>1.0810810810810811</v>
      </c>
      <c r="AM16" s="259">
        <f>IF(ISNUMBER(((NºAsuntos!I16/NºAsuntos!G16)*11)/factor_trimestre),((NºAsuntos!I16/NºAsuntos!G16)*11)/factor_trimestre," - ")</f>
        <v>1.9333333333333333</v>
      </c>
      <c r="AN16" s="243">
        <f>IF(ISNUMBER('Resol  Asuntos'!D16/NºAsuntos!G16),'Resol  Asuntos'!D16/NºAsuntos!G16," - ")</f>
        <v>0.05</v>
      </c>
      <c r="AO16" s="244">
        <f>IF(ISNUMBER((NºAsuntos!C16+NºAsuntos!E16)/NºAsuntos!G16),(NºAsuntos!C16+NºAsuntos!E16)/NºAsuntos!G16," - ")</f>
        <v>1.9666666666666666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0</v>
      </c>
      <c r="B17" s="274" t="s">
        <v>396</v>
      </c>
      <c r="C17" s="7" t="str">
        <f>Datos!A17</f>
        <v>Jdos. Violencia contra la mujer/Secc Viol. TI.</v>
      </c>
      <c r="D17" s="7"/>
      <c r="E17" s="1024">
        <f>IF(ISNUMBER(Datos!AQ17),Datos!AQ17," - ")</f>
        <v>0</v>
      </c>
      <c r="F17" s="224" t="str">
        <f>IF(ISNUMBER(AA17+W17-H17-K17),AA17+W17-H17-K17,"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si="7"/>
        <v>0</v>
      </c>
      <c r="Z17" s="334" t="str">
        <f>IF(ISNUMBER(Datos!CC17),Datos!CC17," - ")</f>
        <v xml:space="preserve"> - </v>
      </c>
      <c r="AA17" s="331" t="str">
        <f>IF(ISNUMBER(Datos!L17),Datos!L17,"-")</f>
        <v>-</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125</v>
      </c>
      <c r="G18" s="865">
        <f>SUBTOTAL(9,G15:G17)</f>
        <v>125</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120</v>
      </c>
      <c r="X18" s="866">
        <f t="shared" si="11"/>
        <v>2</v>
      </c>
      <c r="Y18" s="867">
        <f t="shared" si="11"/>
        <v>122</v>
      </c>
      <c r="Z18" s="867">
        <f t="shared" si="11"/>
        <v>0</v>
      </c>
      <c r="AA18" s="867">
        <f t="shared" si="11"/>
        <v>116</v>
      </c>
      <c r="AB18" s="867">
        <f t="shared" si="11"/>
        <v>22</v>
      </c>
      <c r="AC18" s="867">
        <f t="shared" si="11"/>
        <v>138</v>
      </c>
      <c r="AD18" s="867">
        <f t="shared" si="11"/>
        <v>0</v>
      </c>
      <c r="AE18" s="871">
        <f t="shared" si="11"/>
        <v>0</v>
      </c>
      <c r="AF18" s="864">
        <f t="shared" si="11"/>
        <v>0</v>
      </c>
      <c r="AG18" s="872">
        <f t="shared" si="11"/>
        <v>0</v>
      </c>
      <c r="AH18" s="869">
        <f t="shared" si="11"/>
        <v>0</v>
      </c>
      <c r="AI18" s="864">
        <f t="shared" si="11"/>
        <v>6</v>
      </c>
      <c r="AJ18" s="866">
        <f t="shared" si="11"/>
        <v>0</v>
      </c>
      <c r="AK18" s="869">
        <f t="shared" si="11"/>
        <v>0</v>
      </c>
      <c r="AL18" s="873">
        <f>IF(ISNUMBER(NºAsuntos!G18/NºAsuntos!E18),NºAsuntos!G18/NºAsuntos!E18," - ")</f>
        <v>1.0810810810810811</v>
      </c>
      <c r="AM18" s="873">
        <f>IF(ISNUMBER(((NºAsuntos!I18/NºAsuntos!G18)*11)/factor_trimestre),((NºAsuntos!I18/NºAsuntos!G18)*11)/factor_trimestre," - ")</f>
        <v>1.9333333333333333</v>
      </c>
      <c r="AN18" s="874">
        <f>IF(ISNUMBER('Resol  Asuntos'!D18/NºAsuntos!G18),'Resol  Asuntos'!D18/NºAsuntos!G18," - ")</f>
        <v>0.05</v>
      </c>
      <c r="AO18" s="875">
        <f>IF(ISNUMBER((NºAsuntos!C18+NºAsuntos!E18)/NºAsuntos!G18),(NºAsuntos!C18+NºAsuntos!E18)/NºAsuntos!G18," - ")</f>
        <v>1.9666666666666666</v>
      </c>
      <c r="AP18" s="876" t="str">
        <f t="shared" si="2"/>
        <v xml:space="preserve"> - </v>
      </c>
      <c r="AQ18" s="876">
        <f>IF(ISNUMBER((H18-W18+K18)/(F18)),(H18-W18+K18)/(F18)," - ")</f>
        <v>-0.96</v>
      </c>
      <c r="AR18" s="877">
        <f>IF(ISNUMBER((Datos!P18-Datos!Q18)/(Datos!R18-Datos!P18+Datos!Q18)),(Datos!P18-Datos!Q18)/(Datos!R18-Datos!P18+Datos!Q18)," - ")</f>
        <v>-8.3333333333333329E-2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125</v>
      </c>
      <c r="G19" s="820">
        <f t="shared" si="13"/>
        <v>125</v>
      </c>
      <c r="H19" s="819">
        <f t="shared" si="13"/>
        <v>0</v>
      </c>
      <c r="I19" s="821">
        <f t="shared" si="13"/>
        <v>0</v>
      </c>
      <c r="J19" s="821">
        <f t="shared" si="13"/>
        <v>0</v>
      </c>
      <c r="K19" s="880">
        <f t="shared" si="13"/>
        <v>0</v>
      </c>
      <c r="L19" s="821">
        <f t="shared" si="13"/>
        <v>31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120</v>
      </c>
      <c r="X19" s="820">
        <f t="shared" si="14"/>
        <v>23</v>
      </c>
      <c r="Y19" s="827">
        <f t="shared" si="14"/>
        <v>143</v>
      </c>
      <c r="Z19" s="827">
        <f t="shared" si="14"/>
        <v>0</v>
      </c>
      <c r="AA19" s="827">
        <f t="shared" si="14"/>
        <v>116</v>
      </c>
      <c r="AB19" s="827">
        <f t="shared" si="14"/>
        <v>434</v>
      </c>
      <c r="AC19" s="827">
        <f t="shared" si="14"/>
        <v>138</v>
      </c>
      <c r="AD19" s="827">
        <f t="shared" si="14"/>
        <v>0</v>
      </c>
      <c r="AE19" s="829">
        <f t="shared" si="14"/>
        <v>0</v>
      </c>
      <c r="AF19" s="830">
        <f t="shared" si="14"/>
        <v>0</v>
      </c>
      <c r="AG19" s="831">
        <f t="shared" si="14"/>
        <v>0</v>
      </c>
      <c r="AH19" s="829">
        <f t="shared" si="14"/>
        <v>0</v>
      </c>
      <c r="AI19" s="819">
        <f t="shared" si="14"/>
        <v>35</v>
      </c>
      <c r="AJ19" s="819">
        <f t="shared" si="14"/>
        <v>0</v>
      </c>
      <c r="AK19" s="829">
        <f t="shared" si="14"/>
        <v>0</v>
      </c>
      <c r="AL19" s="883">
        <f>IF(ISNUMBER(NºAsuntos!G19/NºAsuntos!E19),NºAsuntos!G19/NºAsuntos!E19," - ")</f>
        <v>1.0054644808743169</v>
      </c>
      <c r="AM19" s="884">
        <f>IF(ISNUMBER(((NºAsuntos!I19/NºAsuntos!G19)*11)/factor_trimestre),((NºAsuntos!I19/NºAsuntos!G19)*11)/factor_trimestre," - ")</f>
        <v>4.0108695652173916</v>
      </c>
      <c r="AN19" s="884">
        <f>IF(ISNUMBER('Resol  Asuntos'!D19/NºAsuntos!G19),'Resol  Asuntos'!D19/NºAsuntos!G19," - ")</f>
        <v>0.19021739130434784</v>
      </c>
      <c r="AO19" s="885">
        <f>IF(ISNUMBER((NºAsuntos!C19+NºAsuntos!E19)/NºAsuntos!G19),(NºAsuntos!C19+NºAsuntos!E19)/NºAsuntos!G19," - ")</f>
        <v>3.277173913043478</v>
      </c>
      <c r="AP19" s="886" t="str">
        <f t="shared" si="2"/>
        <v xml:space="preserve"> - </v>
      </c>
      <c r="AQ19" s="887">
        <f>IF(OR(ISNUMBER(FIND("01",Criterios!A8,1)),ISNUMBER(FIND("02",Criterios!A8,1)),ISNUMBER(FIND("03",Criterios!A8,1)),ISNUMBER(FIND("04",Criterios!A8,1))),(I19-W19+K19)/(F19-K19),(H19-W19+K19)/(F19-K19))</f>
        <v>-0.96</v>
      </c>
      <c r="AR19" s="888">
        <f>IF(ISNUMBER((Datos!P19-Datos!Q19)/(Datos!R19-Datos!P19+Datos!Q19)),(Datos!P19-Datos!Q19)/(Datos!R19-Datos!P19+Datos!Q19)," - ")</f>
        <v>1.8779342723004695E-2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83.333333333333329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72.168783648703226</v>
      </c>
      <c r="G21" s="252">
        <f>IF(ISNUMBER(STDEV(G8:G18)),STDEV(G8:G18),"-")</f>
        <v>72.168783648703226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69.282032302755098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13.279056191361393</v>
      </c>
      <c r="AJ21" s="251">
        <f t="shared" si="18"/>
        <v>0</v>
      </c>
      <c r="AK21" s="253">
        <f t="shared" si="18"/>
        <v>0</v>
      </c>
      <c r="AL21" s="248">
        <f t="shared" si="18"/>
        <v>0.11096221389830652</v>
      </c>
      <c r="AM21" s="249">
        <f t="shared" si="18"/>
        <v>3.4484650453472021</v>
      </c>
      <c r="AN21" s="249">
        <f t="shared" si="18"/>
        <v>0.23274432726706787</v>
      </c>
      <c r="AO21" s="250">
        <f t="shared" si="18"/>
        <v>2.1752874204779955</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tFRRfDwOPBb+zs0t25CDkRWVGgQmXpyFeJQnzOa46CQAf1hwGC71C+58Vl9Wrmpf8OYf1aarue2bP1tYux47bg==" saltValue="krL5d4PIMd8DY6XGqVVbi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LOGROSAN</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0.52631578947368418</v>
      </c>
      <c r="I12" s="349">
        <f>IF(ISNUMBER((Tasas!C12-Datos!BE12)/Datos!BE12),(Tasas!C12-Datos!BE12)/Datos!BE12," - ")</f>
        <v>-0.16257788161993772</v>
      </c>
      <c r="J12" s="348">
        <f>IF(ISNUMBER((Tasas!D12-Datos!BF12)/Datos!BF12),(Tasas!D12-Datos!BF12)/Datos!BF12," - ")</f>
        <v>2.4236111111111112</v>
      </c>
      <c r="K12" s="350">
        <f>IF(ISNUMBER((Tasas!E12-Datos!BG12)/Datos!BG12),(Tasas!E12-Datos!BG12)/Datos!BG12," - ")</f>
        <v>2.4100257069408558E-3</v>
      </c>
      <c r="M12" t="e">
        <f>IF(Monitorios="SI",Datos!CE12,0)</f>
        <v>#REF!</v>
      </c>
      <c r="N12" t="e">
        <f>IF(Monitorios="SI",Datos!CF12,0)</f>
        <v>#REF!</v>
      </c>
      <c r="O12" t="e">
        <f>IF(Monitorios="SI",Datos!CG12,0)</f>
        <v>#REF!</v>
      </c>
      <c r="P12" t="e">
        <f>IF(Monitorios="SI",Datos!CH12,0)</f>
        <v>#REF!</v>
      </c>
      <c r="Q12">
        <f>IF(J_V="SI",0,Datos!AG12)</f>
        <v>12</v>
      </c>
      <c r="R12">
        <f>IF(J_V="SI",0,Datos!AH12)</f>
        <v>5</v>
      </c>
      <c r="S12">
        <f>IF(J_V="SI",0,Datos!AI12)</f>
        <v>6</v>
      </c>
      <c r="T12">
        <f>IF(J_V="SI",0,Datos!AJ12)</f>
        <v>11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0.52631578947368418</v>
      </c>
      <c r="I13" s="356">
        <f>IF(ISNUMBER((Tasas!C13-Datos!BE13)/Datos!BE13),(Tasas!C13-Datos!BE13)/Datos!BE13," - ")</f>
        <v>-0.16257788161993772</v>
      </c>
      <c r="J13" s="354">
        <f>IF(ISNUMBER((Tasas!D13-Datos!BF13)/Datos!BF13),(Tasas!D13-Datos!BF13)/Datos!BF13," - ")</f>
        <v>2.4236111111111112</v>
      </c>
      <c r="K13" s="357">
        <f>IF(ISNUMBER((Tasas!E13-Datos!BG13)/Datos!BG13),(Tasas!E13-Datos!BG13)/Datos!BG13," - ")</f>
        <v>2.4100257069408558E-3</v>
      </c>
      <c r="M13" t="e">
        <f>IF(Monitorios="SI",Datos!CE13,0)</f>
        <v>#REF!</v>
      </c>
      <c r="N13" t="e">
        <f>IF(Monitorios="SI",Datos!CF13,0)</f>
        <v>#REF!</v>
      </c>
      <c r="O13" t="e">
        <f>IF(Monitorios="SI",Datos!CG13,0)</f>
        <v>#REF!</v>
      </c>
      <c r="P13" t="e">
        <f>IF(Monitorios="SI",Datos!CH13,0)</f>
        <v>#REF!</v>
      </c>
      <c r="Q13">
        <f>IF(J_V="SI",0,Datos!AG13)</f>
        <v>12</v>
      </c>
      <c r="R13">
        <f>IF(J_V="SI",0,Datos!AH13)</f>
        <v>5</v>
      </c>
      <c r="S13">
        <f>IF(J_V="SI",0,Datos!AI13)</f>
        <v>6</v>
      </c>
      <c r="T13">
        <f>IF(J_V="SI",0,Datos!AJ13)</f>
        <v>11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-0.33155080213903743</v>
      </c>
      <c r="E16" s="347">
        <f>IF(ISNUMBER(
   IF(D_I="SI",(Datos!J16-Datos!T16)/Datos!T16,(Datos!J16+Datos!AD16-(Datos!T16+Datos!AL16))/(Datos!T16+Datos!AL16))
     ),IF(D_I="SI",(Datos!J16-Datos!T16)/Datos!T16,(Datos!J16+Datos!AD16-(Datos!T16+Datos!AL16))/(Datos!T16+Datos!AL16))," - ")</f>
        <v>-9.7560975609756101E-2</v>
      </c>
      <c r="F16" s="347">
        <f>IF(ISNUMBER(
   IF(D_I="SI",(Datos!K16-Datos!U16)/Datos!U16,(Datos!K16+Datos!AE16-(Datos!U16+Datos!AM16))/(Datos!U16+Datos!AM16))
     ),IF(D_I="SI",(Datos!K16-Datos!U16)/Datos!U16,(Datos!K16+Datos!AE16-(Datos!U16+Datos!AM16))/(Datos!U16+Datos!AM16))," - ")</f>
        <v>0.17647058823529413</v>
      </c>
      <c r="G16" s="348">
        <f>IF(ISNUMBER(
   IF(D_I="SI",(Datos!L16-Datos!V16)/Datos!V16,(Datos!L16+Datos!AF16-(Datos!V16+Datos!AN16))/(Datos!V16+Datos!AN16))
     ),IF(D_I="SI",(Datos!L16-Datos!V16)/Datos!V16,(Datos!L16+Datos!AF16-(Datos!V16+Datos!AN16))/(Datos!V16+Datos!AN16))," - ")</f>
        <v>-0.44230769230769229</v>
      </c>
      <c r="H16" s="229">
        <f>IF(ISNUMBER((Datos!M16-Datos!W16)/Datos!W16),(Datos!M16-Datos!W16)/Datos!W16," - ")</f>
        <v>-0.80645161290322576</v>
      </c>
      <c r="I16" s="349">
        <f>IF(ISNUMBER((Tasas!C16-Datos!BE16)/Datos!BE16),(Tasas!C16-Datos!BE16)/Datos!BE16," - ")</f>
        <v>-0.52596153846153837</v>
      </c>
      <c r="J16" s="348">
        <f>IF(ISNUMBER((Tasas!D16-Datos!BF16)/Datos!BF16),(Tasas!D16-Datos!BF16)/Datos!BF16," - ")</f>
        <v>-0.8354838709677419</v>
      </c>
      <c r="K16" s="350">
        <f>IF(ISNUMBER((Tasas!E16-Datos!BG16)/Datos!BG16),(Tasas!E16-Datos!BG16)/Datos!BG16," - ")</f>
        <v>-0.35290322580645161</v>
      </c>
    </row>
    <row r="17" spans="2:20" ht="15" thickBot="1">
      <c r="B17" s="274" t="s">
        <v>396</v>
      </c>
      <c r="C17" s="7" t="str">
        <f>Datos!A17</f>
        <v>Jdos. Violencia contra la mujer/Secc Viol. TI.</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-0.33155080213903743</v>
      </c>
      <c r="E18" s="353">
        <f>IF(ISNUMBER(
   IF(D_I="SI",(Datos!J18-Datos!T18)/Datos!T18,(Datos!J18+Datos!AD18-(Datos!T18+Datos!AL18))/(Datos!T18+Datos!AL18))
     ),IF(D_I="SI",(Datos!J18-Datos!T18)/Datos!T18,(Datos!J18+Datos!AD18-(Datos!T18+Datos!AL18))/(Datos!T18+Datos!AL18))," - ")</f>
        <v>-9.7560975609756101E-2</v>
      </c>
      <c r="F18" s="353">
        <f>IF(ISNUMBER(
   IF(D_I="SI",(Datos!K18-Datos!U18)/Datos!U18,(Datos!K18+Datos!AE18-(Datos!U18+Datos!AM18))/(Datos!U18+Datos!AM18))
     ),IF(D_I="SI",(Datos!K18-Datos!U18)/Datos!U18,(Datos!K18+Datos!AE18-(Datos!U18+Datos!AM18))/(Datos!U18+Datos!AM18))," - ")</f>
        <v>0.17647058823529413</v>
      </c>
      <c r="G18" s="354">
        <f>IF(ISNUMBER(
   IF(D_I="SI",(Datos!L18-Datos!V18)/Datos!V18,(Datos!L18+Datos!AF18-(Datos!V18+Datos!AN18))/(Datos!V18+Datos!AN18))
     ),IF(D_I="SI",(Datos!L18-Datos!V18)/Datos!V18,(Datos!L18+Datos!AF18-(Datos!V18+Datos!AN18))/(Datos!V18+Datos!AN18))," - ")</f>
        <v>-0.44230769230769229</v>
      </c>
      <c r="H18" s="355">
        <f>IF(ISNUMBER((Datos!M18-Datos!W18)/Datos!W18),(Datos!M18-Datos!W18)/Datos!W18," - ")</f>
        <v>-0.80645161290322576</v>
      </c>
      <c r="I18" s="356">
        <f>IF(ISNUMBER((Tasas!C18-Datos!BE18)/Datos!BE18),(Tasas!C18-Datos!BE18)/Datos!BE18," - ")</f>
        <v>-0.52596153846153837</v>
      </c>
      <c r="J18" s="354">
        <f>IF(ISNUMBER((Tasas!D18-Datos!BF18)/Datos!BF18),(Tasas!D18-Datos!BF18)/Datos!BF18," - ")</f>
        <v>-0.8354838709677419</v>
      </c>
      <c r="K18" s="357">
        <f>IF(ISNUMBER((Tasas!E18-Datos!BG18)/Datos!BG18),(Tasas!E18-Datos!BG18)/Datos!BG18," - ")</f>
        <v>-0.35290322580645161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-8.4967320261437912E-2</v>
      </c>
      <c r="E19" s="362">
        <f>IF(ISNUMBER(
   IF(J_V="SI",(Datos!J19-Datos!T19)/Datos!T19,(Datos!J19+Datos!Z19-(Datos!T19+Datos!AH19))/(Datos!T19+Datos!AH19))
     ),IF(J_V="SI",(Datos!J19-Datos!T19)/Datos!T19,(Datos!J19+Datos!Z19-(Datos!T19+Datos!AH19))/(Datos!T19+Datos!AH19))," - ")</f>
        <v>-0.23749999999999999</v>
      </c>
      <c r="F19" s="362">
        <f>IF(ISNUMBER(
   IF(J_V="SI",(Datos!K19-Datos!U19)/Datos!U19,(Datos!K19+Datos!AA19-(Datos!U19+Datos!AI19))/(Datos!U19+Datos!AI19))
     ),IF(J_V="SI",(Datos!K19-Datos!U19)/Datos!U19,(Datos!K19+Datos!AA19-(Datos!U19+Datos!AI19))/(Datos!U19+Datos!AI19))," - ")</f>
        <v>8.2352941176470587E-2</v>
      </c>
      <c r="G19" s="363">
        <f>IF(ISNUMBER(
   IF(J_V="SI",(Datos!L19-Datos!V19)/Datos!V19,(Datos!L19+Datos!AB19-(Datos!V19+Datos!AJ19))/(Datos!V19+Datos!AJ19))
     ),IF(J_V="SI",(Datos!L19-Datos!V19)/Datos!V19,(Datos!L19+Datos!AB19-(Datos!V19+Datos!AJ19))/(Datos!V19+Datos!AJ19))," - ")</f>
        <v>-0.30245746691871456</v>
      </c>
      <c r="H19" s="364">
        <f>IF(ISNUMBER((Datos!M19-Datos!W19)/Datos!W19),(Datos!M19-Datos!W19)/Datos!W19," - ")</f>
        <v>-0.3</v>
      </c>
      <c r="I19" s="361">
        <f>IF(ISNUMBER((Tasas!C19-Datos!BE19)/Datos!BE19),(Tasas!C19-Datos!BE19)/Datos!BE19," - ")</f>
        <v>-0.35553135530533408</v>
      </c>
      <c r="J19" s="362">
        <f>IF(ISNUMBER((Tasas!D19-Datos!BF19)/Datos!BF19),(Tasas!D19-Datos!BF19)/Datos!BF19," - ")</f>
        <v>-0.19157608695652167</v>
      </c>
      <c r="K19" s="363">
        <f>IF(ISNUMBER((Tasas!E19-Datos!BG19)/Datos!BG19),(Tasas!E19-Datos!BG19)/Datos!BG19," - ")</f>
        <v>-0.2029763015487964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v>
      </c>
      <c r="E21" s="277">
        <f t="shared" si="1"/>
        <v>0</v>
      </c>
      <c r="F21" s="277">
        <f t="shared" si="1"/>
        <v>0</v>
      </c>
      <c r="G21" s="278">
        <f t="shared" si="1"/>
        <v>0</v>
      </c>
      <c r="H21" s="284">
        <f t="shared" si="1"/>
        <v>0.76947361852946716</v>
      </c>
      <c r="I21" s="276">
        <f t="shared" si="1"/>
        <v>0.20979965209660872</v>
      </c>
      <c r="J21" s="277">
        <f t="shared" si="1"/>
        <v>1.8816393652177843</v>
      </c>
      <c r="K21" s="278">
        <f t="shared" si="1"/>
        <v>0.20514020140789835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PdkHzlnGZ8tgcfVTv78bzItPwb9opNyGvGa0bbgJej+SmNXpkrwtWzkDol875yy0nXV0ooRYIMbAjkStXydxQ==" saltValue="3iu/CWat6cFnn02vGIAl9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